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Менеджеры" sheetId="1" state="visible" r:id="rId2"/>
    <sheet name="Агентство" sheetId="2" state="visible" r:id="rId3"/>
    <sheet name="Фактеризация" sheetId="3" state="visible" r:id="rId4"/>
    <sheet name="Зарплата" sheetId="4" state="visible" r:id="rId5"/>
    <sheet name="Настройки" sheetId="5" state="visible" r:id="rId6"/>
    <sheet name="Служебный" sheetId="6" state="hidden" r:id="rId7"/>
  </sheets>
  <definedNames>
    <definedName function="false" hidden="false" name="CurrentMonthDays" vbProcedure="false">Настройки!$G$16</definedName>
    <definedName function="false" hidden="false" name="CurrentMonthRod" vbProcedure="false">Настройки!$G$17</definedName>
    <definedName function="false" hidden="false" name="current_month" vbProcedure="false">Зарплата!$C$2</definedName>
    <definedName function="false" hidden="false" name="firstDayCurrentMonth" vbProcedure="false">Настройки!$G$18</definedName>
    <definedName function="false" hidden="false" name="lastDayCurrentMonth" vbProcedure="false">Настройки!$G$19</definedName>
    <definedName function="false" hidden="false" name="planYear" vbProcedure="false">Настройки!$I$18</definedName>
    <definedName function="false" hidden="false" name="БонусДопы1" vbProcedure="false">Настройки!$I$5</definedName>
    <definedName function="false" hidden="false" name="БонусДопы2" vbProcedure="false">Настройки!$I$6</definedName>
    <definedName function="false" hidden="false" name="БонусДопы3" vbProcedure="false">Настройки!$I$7</definedName>
    <definedName function="false" hidden="false" name="БонусДопы4" vbProcedure="false">Настройки!$I$8</definedName>
    <definedName function="false" hidden="false" name="БонусДопы5" vbProcedure="false">Настройки!$I$9</definedName>
    <definedName function="false" hidden="false" name="БонусДопы6" vbProcedure="false">Настройки!$I$10</definedName>
    <definedName function="false" hidden="false" name="БонусДопы7" vbProcedure="false">Настройки!$I$11</definedName>
    <definedName function="false" hidden="false" name="БонусТуры1" vbProcedure="false">Настройки!$F$5</definedName>
    <definedName function="false" hidden="false" name="БонусТуры2" vbProcedure="false">Настройки!$F$6</definedName>
    <definedName function="false" hidden="false" name="БонусТуры3" vbProcedure="false">Настройки!$F$7</definedName>
    <definedName function="false" hidden="false" name="БонусТуры4" vbProcedure="false">Настройки!$F$8</definedName>
    <definedName function="false" hidden="false" name="БонусТуры5" vbProcedure="false">Настройки!$F$9</definedName>
    <definedName function="false" hidden="false" name="БонусТуры6" vbProcedure="false">Настройки!$F$10</definedName>
    <definedName function="false" hidden="false" name="БонусТуры7" vbProcedure="false">Настройки!$F$11</definedName>
    <definedName function="false" hidden="false" name="БонусыДопыВсе1" vbProcedure="false">Зарплата!$E$13:$K$13</definedName>
    <definedName function="false" hidden="false" name="БонусыДопыВсе10" vbProcedure="false">зарплата!#REF!</definedName>
    <definedName function="false" hidden="false" name="БонусыДопыВсе11" vbProcedure="false">зарплата!#REF!</definedName>
    <definedName function="false" hidden="false" name="БонусыДопыВсе12" vbProcedure="false">зарплата!#REF!</definedName>
    <definedName function="false" hidden="false" name="БонусыДопыВсе13" vbProcedure="false">зарплата!#REF!</definedName>
    <definedName function="false" hidden="false" name="БонусыДопыВсе14" vbProcedure="false">зарплата!#REF!</definedName>
    <definedName function="false" hidden="false" name="БонусыДопыВсе15" vbProcedure="false">зарплата!#REF!</definedName>
    <definedName function="false" hidden="false" name="БонусыДопыВсе16" vbProcedure="false">зарплата!#REF!</definedName>
    <definedName function="false" hidden="false" name="БонусыДопыВсе17" vbProcedure="false">зарплата!#REF!</definedName>
    <definedName function="false" hidden="false" name="БонусыДопыВсе18" vbProcedure="false">зарплата!#REF!</definedName>
    <definedName function="false" hidden="false" name="БонусыДопыВсе19" vbProcedure="false">зарплата!#REF!</definedName>
    <definedName function="false" hidden="false" name="БонусыДопыВсе2" vbProcedure="false">Зарплата!$E$35:$K$35</definedName>
    <definedName function="false" hidden="false" name="БонусыДопыВсе20" vbProcedure="false">зарплата!#REF!</definedName>
    <definedName function="false" hidden="false" name="БонусыДопыВсе3" vbProcedure="false">зарплата!#REF!</definedName>
    <definedName function="false" hidden="false" name="БонусыДопыВсе4" vbProcedure="false">зарплата!#REF!</definedName>
    <definedName function="false" hidden="false" name="БонусыДопыВсе5" vbProcedure="false">зарплата!#REF!</definedName>
    <definedName function="false" hidden="false" name="БонусыДопыВсе6" vbProcedure="false">зарплата!#REF!</definedName>
    <definedName function="false" hidden="false" name="БонусыДопыВсе7" vbProcedure="false">зарплата!#REF!</definedName>
    <definedName function="false" hidden="false" name="БонусыДопыВсе8" vbProcedure="false">зарплата!#REF!</definedName>
    <definedName function="false" hidden="false" name="БонусыДопыВсе9" vbProcedure="false">зарплата!#REF!</definedName>
    <definedName function="false" hidden="false" name="БонусыТурыВсе1" vbProcedure="false">Зарплата!$E$10:$K$10</definedName>
    <definedName function="false" hidden="false" name="БонусыТурыВсе10" vbProcedure="false">зарплата!#REF!</definedName>
    <definedName function="false" hidden="false" name="БонусыТурыВсе11" vbProcedure="false">зарплата!#REF!</definedName>
    <definedName function="false" hidden="false" name="БонусыТурыВсе12" vbProcedure="false">зарплата!#REF!</definedName>
    <definedName function="false" hidden="false" name="БонусыТурыВсе13" vbProcedure="false">зарплата!#REF!</definedName>
    <definedName function="false" hidden="false" name="БонусыТурыВсе14" vbProcedure="false">зарплата!#REF!</definedName>
    <definedName function="false" hidden="false" name="БонусыТурыВсе15" vbProcedure="false">зарплата!#REF!</definedName>
    <definedName function="false" hidden="false" name="БонусыТурыВсе16" vbProcedure="false">зарплата!#REF!</definedName>
    <definedName function="false" hidden="false" name="БонусыТурыВсе17" vbProcedure="false">зарплата!#REF!</definedName>
    <definedName function="false" hidden="false" name="БонусыТурыВсе18" vbProcedure="false">зарплата!#REF!</definedName>
    <definedName function="false" hidden="false" name="БонусыТурыВсе19" vbProcedure="false">зарплата!#REF!</definedName>
    <definedName function="false" hidden="false" name="БонусыТурыВсе2" vbProcedure="false">Зарплата!$E$32:$K$32</definedName>
    <definedName function="false" hidden="false" name="БонусыТурыВсе20" vbProcedure="false">зарплата!#REF!</definedName>
    <definedName function="false" hidden="false" name="БонусыТурыВсе3" vbProcedure="false">зарплата!#REF!</definedName>
    <definedName function="false" hidden="false" name="БонусыТурыВсе4" vbProcedure="false">зарплата!#REF!</definedName>
    <definedName function="false" hidden="false" name="БонусыТурыВсе5" vbProcedure="false">зарплата!#REF!</definedName>
    <definedName function="false" hidden="false" name="БонусыТурыВсе6" vbProcedure="false">зарплата!#REF!</definedName>
    <definedName function="false" hidden="false" name="БонусыТурыВсе7" vbProcedure="false">зарплата!#REF!</definedName>
    <definedName function="false" hidden="false" name="БонусыТурыВсе8" vbProcedure="false">зарплата!#REF!</definedName>
    <definedName function="false" hidden="false" name="БонусыТурыВсе9" vbProcedure="false">зарплата!#REF!</definedName>
    <definedName function="false" hidden="false" name="ЗарплатаДопыВсе1" vbProcedure="false">Зарплата!$E$12:$K$12</definedName>
    <definedName function="false" hidden="false" name="ЗарплатаДопыВсе10" vbProcedure="false">зарплата!#REF!</definedName>
    <definedName function="false" hidden="false" name="ЗарплатаДопыВсе11" vbProcedure="false">зарплата!#REF!</definedName>
    <definedName function="false" hidden="false" name="ЗарплатаДопыВсе12" vbProcedure="false">зарплата!#REF!</definedName>
    <definedName function="false" hidden="false" name="ЗарплатаДопыВсе13" vbProcedure="false">зарплата!#REF!</definedName>
    <definedName function="false" hidden="false" name="ЗарплатаДопыВсе14" vbProcedure="false">зарплата!#REF!</definedName>
    <definedName function="false" hidden="false" name="ЗарплатаДопыВсе15" vbProcedure="false">зарплата!#REF!</definedName>
    <definedName function="false" hidden="false" name="ЗарплатаДопыВсе16" vbProcedure="false">зарплата!#REF!</definedName>
    <definedName function="false" hidden="false" name="ЗарплатаДопыВсе17" vbProcedure="false">зарплата!#REF!</definedName>
    <definedName function="false" hidden="false" name="ЗарплатаДопыВсе18" vbProcedure="false">зарплата!#REF!</definedName>
    <definedName function="false" hidden="false" name="ЗарплатаДопыВсе19" vbProcedure="false">зарплата!#REF!</definedName>
    <definedName function="false" hidden="false" name="ЗарплатаДопыВсе2" vbProcedure="false">Зарплата!$E$34:$K$34</definedName>
    <definedName function="false" hidden="false" name="ЗарплатаДопыВсе20" vbProcedure="false">зарплата!#REF!</definedName>
    <definedName function="false" hidden="false" name="ЗарплатаДопыВсе3" vbProcedure="false">зарплата!#REF!</definedName>
    <definedName function="false" hidden="false" name="ЗарплатаДопыВсе4" vbProcedure="false">зарплата!#REF!</definedName>
    <definedName function="false" hidden="false" name="ЗарплатаДопыВсе5" vbProcedure="false">зарплата!#REF!</definedName>
    <definedName function="false" hidden="false" name="ЗарплатаДопыВсе6" vbProcedure="false">зарплата!#REF!</definedName>
    <definedName function="false" hidden="false" name="ЗарплатаДопыВсе7" vbProcedure="false">зарплата!#REF!</definedName>
    <definedName function="false" hidden="false" name="ЗарплатаДопыВсе8" vbProcedure="false">зарплата!#REF!</definedName>
    <definedName function="false" hidden="false" name="ЗарплатаДопыВсе9" vbProcedure="false">зарплата!#REF!</definedName>
    <definedName function="false" hidden="false" name="ЗарплатаДопыМега1" vbProcedure="false">Зарплата!$K$12</definedName>
    <definedName function="false" hidden="false" name="ЗарплатаДопыМега10" vbProcedure="false">зарплата!#REF!</definedName>
    <definedName function="false" hidden="false" name="ЗарплатаДопыМега11" vbProcedure="false">зарплата!#REF!</definedName>
    <definedName function="false" hidden="false" name="ЗарплатаДопыМега12" vbProcedure="false">зарплата!#REF!</definedName>
    <definedName function="false" hidden="false" name="ЗарплатаДопыМега13" vbProcedure="false">зарплата!#REF!</definedName>
    <definedName function="false" hidden="false" name="ЗарплатаДопыМега14" vbProcedure="false">зарплата!#REF!</definedName>
    <definedName function="false" hidden="false" name="ЗарплатаДопыМега15" vbProcedure="false">зарплата!#REF!</definedName>
    <definedName function="false" hidden="false" name="ЗарплатаДопыМега16" vbProcedure="false">зарплата!#REF!</definedName>
    <definedName function="false" hidden="false" name="ЗарплатаДопыМега17" vbProcedure="false">зарплата!#REF!</definedName>
    <definedName function="false" hidden="false" name="ЗарплатаДопыМега18" vbProcedure="false">зарплата!#REF!</definedName>
    <definedName function="false" hidden="false" name="ЗарплатаДопыМега19" vbProcedure="false">зарплата!#REF!</definedName>
    <definedName function="false" hidden="false" name="ЗарплатаДопыМега2" vbProcedure="false">Зарплата!$K$34</definedName>
    <definedName function="false" hidden="false" name="ЗарплатаДопыМега20" vbProcedure="false">зарплата!#REF!</definedName>
    <definedName function="false" hidden="false" name="ЗарплатаДопыМега3" vbProcedure="false">зарплата!#REF!</definedName>
    <definedName function="false" hidden="false" name="ЗарплатаДопыМега4" vbProcedure="false">зарплата!#REF!</definedName>
    <definedName function="false" hidden="false" name="ЗарплатаДопыМега5" vbProcedure="false">зарплата!#REF!</definedName>
    <definedName function="false" hidden="false" name="ЗарплатаДопыМега6" vbProcedure="false">зарплата!#REF!</definedName>
    <definedName function="false" hidden="false" name="ЗарплатаДопыМега7" vbProcedure="false">зарплата!#REF!</definedName>
    <definedName function="false" hidden="false" name="ЗарплатаДопыМега8" vbProcedure="false">зарплата!#REF!</definedName>
    <definedName function="false" hidden="false" name="ЗарплатаДопыМега9" vbProcedure="false">зарплата!#REF!</definedName>
    <definedName function="false" hidden="false" name="ЗарплатаДопыМенеджер1" vbProcedure="false">Зарплата!$O$12</definedName>
    <definedName function="false" hidden="false" name="ЗарплатаДопыМенеджер10" vbProcedure="false">зарплата!#REF!</definedName>
    <definedName function="false" hidden="false" name="ЗарплатаДопыМенеджер11" vbProcedure="false">зарплата!#REF!</definedName>
    <definedName function="false" hidden="false" name="ЗарплатаДопыМенеджер12" vbProcedure="false">зарплата!#REF!</definedName>
    <definedName function="false" hidden="false" name="ЗарплатаДопыМенеджер13" vbProcedure="false">зарплата!#REF!</definedName>
    <definedName function="false" hidden="false" name="ЗарплатаДопыМенеджер14" vbProcedure="false">зарплата!#REF!</definedName>
    <definedName function="false" hidden="false" name="ЗарплатаДопыМенеджер15" vbProcedure="false">зарплата!#REF!</definedName>
    <definedName function="false" hidden="false" name="ЗарплатаДопыМенеджер16" vbProcedure="false">зарплата!#REF!</definedName>
    <definedName function="false" hidden="false" name="ЗарплатаДопыМенеджер17" vbProcedure="false">зарплата!#REF!</definedName>
    <definedName function="false" hidden="false" name="ЗарплатаДопыМенеджер18" vbProcedure="false">зарплата!#REF!</definedName>
    <definedName function="false" hidden="false" name="ЗарплатаДопыМенеджер19" vbProcedure="false">зарплата!#REF!</definedName>
    <definedName function="false" hidden="false" name="ЗарплатаДопыМенеджер2" vbProcedure="false">Зарплата!$O$34</definedName>
    <definedName function="false" hidden="false" name="ЗарплатаДопыМенеджер20" vbProcedure="false">зарплата!#REF!</definedName>
    <definedName function="false" hidden="false" name="ЗарплатаДопыМенеджер3" vbProcedure="false">зарплата!#REF!</definedName>
    <definedName function="false" hidden="false" name="ЗарплатаДопыМенеджер4" vbProcedure="false">зарплата!#REF!</definedName>
    <definedName function="false" hidden="false" name="ЗарплатаДопыМенеджер5" vbProcedure="false">зарплата!#REF!</definedName>
    <definedName function="false" hidden="false" name="ЗарплатаДопыМенеджер6" vbProcedure="false">зарплата!#REF!</definedName>
    <definedName function="false" hidden="false" name="ЗарплатаДопыМенеджер7" vbProcedure="false">зарплата!#REF!</definedName>
    <definedName function="false" hidden="false" name="ЗарплатаДопыМенеджер8" vbProcedure="false">зарплата!#REF!</definedName>
    <definedName function="false" hidden="false" name="ЗарплатаДопыМенеджер9" vbProcedure="false">зарплата!#REF!</definedName>
    <definedName function="false" hidden="false" name="ЗарплатаИзМенеджер1" vbProcedure="false">Зарплата!$O$15:$O$24</definedName>
    <definedName function="false" hidden="false" name="ЗарплатаИзМенеджер10" vbProcedure="false">зарплата!#REF!</definedName>
    <definedName function="false" hidden="false" name="ЗарплатаИзМенеджер11" vbProcedure="false">зарплата!#REF!</definedName>
    <definedName function="false" hidden="false" name="ЗарплатаИзМенеджер12" vbProcedure="false">зарплата!#REF!</definedName>
    <definedName function="false" hidden="false" name="ЗарплатаИзМенеджер13" vbProcedure="false">зарплата!#REF!</definedName>
    <definedName function="false" hidden="false" name="ЗарплатаИзМенеджер14" vbProcedure="false">зарплата!#REF!</definedName>
    <definedName function="false" hidden="false" name="ЗарплатаИзМенеджер15" vbProcedure="false">зарплата!#REF!</definedName>
    <definedName function="false" hidden="false" name="ЗарплатаИзМенеджер16" vbProcedure="false">зарплата!#REF!</definedName>
    <definedName function="false" hidden="false" name="ЗарплатаИзМенеджер17" vbProcedure="false">зарплата!#REF!</definedName>
    <definedName function="false" hidden="false" name="ЗарплатаИзМенеджер18" vbProcedure="false">зарплата!#REF!</definedName>
    <definedName function="false" hidden="false" name="ЗарплатаИзМенеджер19" vbProcedure="false">зарплата!#REF!</definedName>
    <definedName function="false" hidden="false" name="ЗарплатаИзМенеджер2" vbProcedure="false">Зарплата!$O$37:$O$46</definedName>
    <definedName function="false" hidden="false" name="ЗарплатаИзМенеджер20" vbProcedure="false">зарплата!#REF!</definedName>
    <definedName function="false" hidden="false" name="ЗарплатаИзМенеджер3" vbProcedure="false">зарплата!#REF!</definedName>
    <definedName function="false" hidden="false" name="ЗарплатаИзМенеджер4" vbProcedure="false">зарплата!#REF!</definedName>
    <definedName function="false" hidden="false" name="ЗарплатаИзМенеджер5" vbProcedure="false">зарплата!#REF!</definedName>
    <definedName function="false" hidden="false" name="ЗарплатаИзМенеджер6" vbProcedure="false">зарплата!#REF!</definedName>
    <definedName function="false" hidden="false" name="ЗарплатаИзМенеджер7" vbProcedure="false">зарплата!#REF!</definedName>
    <definedName function="false" hidden="false" name="ЗарплатаИзМенеджер8" vbProcedure="false">зарплата!#REF!</definedName>
    <definedName function="false" hidden="false" name="ЗарплатаИзМенеджер9" vbProcedure="false">зарплата!#REF!</definedName>
    <definedName function="false" hidden="false" name="ЗарплатаКармаМенеджер1" vbProcedure="false">Зарплата!$S$25</definedName>
    <definedName function="false" hidden="false" name="ЗарплатаКармаМенеджер10" vbProcedure="false">зарплата!#REF!</definedName>
    <definedName function="false" hidden="false" name="ЗарплатаКармаМенеджер11" vbProcedure="false">зарплата!#REF!</definedName>
    <definedName function="false" hidden="false" name="ЗарплатаКармаМенеджер12" vbProcedure="false">зарплата!#REF!</definedName>
    <definedName function="false" hidden="false" name="ЗарплатаКармаМенеджер13" vbProcedure="false">зарплата!#REF!</definedName>
    <definedName function="false" hidden="false" name="ЗарплатаКармаМенеджер14" vbProcedure="false">зарплата!#REF!</definedName>
    <definedName function="false" hidden="false" name="ЗарплатаКармаМенеджер15" vbProcedure="false">зарплата!#REF!</definedName>
    <definedName function="false" hidden="false" name="ЗарплатаКармаМенеджер16" vbProcedure="false">зарплата!#REF!</definedName>
    <definedName function="false" hidden="false" name="ЗарплатаКармаМенеджер17" vbProcedure="false">зарплата!#REF!</definedName>
    <definedName function="false" hidden="false" name="ЗарплатаКармаМенеджер18" vbProcedure="false">зарплата!#REF!</definedName>
    <definedName function="false" hidden="false" name="ЗарплатаКармаМенеджер19" vbProcedure="false">зарплата!#REF!</definedName>
    <definedName function="false" hidden="false" name="ЗарплатаКармаМенеджер2" vbProcedure="false">Зарплата!$S$47</definedName>
    <definedName function="false" hidden="false" name="ЗарплатаКармаМенеджер20" vbProcedure="false">зарплата!#REF!</definedName>
    <definedName function="false" hidden="false" name="ЗарплатаКармаМенеджер3" vbProcedure="false">зарплата!#REF!</definedName>
    <definedName function="false" hidden="false" name="ЗарплатаКармаМенеджер4" vbProcedure="false">зарплата!#REF!</definedName>
    <definedName function="false" hidden="false" name="ЗарплатаКармаМенеджер5" vbProcedure="false">зарплата!#REF!</definedName>
    <definedName function="false" hidden="false" name="ЗарплатаКармаМенеджер6" vbProcedure="false">зарплата!#REF!</definedName>
    <definedName function="false" hidden="false" name="ЗарплатаКармаМенеджер7" vbProcedure="false">зарплата!#REF!</definedName>
    <definedName function="false" hidden="false" name="ЗарплатаКармаМенеджер8" vbProcedure="false">зарплата!#REF!</definedName>
    <definedName function="false" hidden="false" name="ЗарплатаКармаМенеджер9" vbProcedure="false">зарплата!#REF!</definedName>
    <definedName function="false" hidden="false" name="ЗарплатаОкладМенеджер1" vbProcedure="false">Зарплата!$J$25</definedName>
    <definedName function="false" hidden="false" name="ЗарплатаОкладМенеджер10" vbProcedure="false">зарплата!#REF!</definedName>
    <definedName function="false" hidden="false" name="ЗарплатаОкладМенеджер11" vbProcedure="false">зарплата!#REF!</definedName>
    <definedName function="false" hidden="false" name="ЗарплатаОкладМенеджер12" vbProcedure="false">зарплата!#REF!</definedName>
    <definedName function="false" hidden="false" name="ЗарплатаОкладМенеджер13" vbProcedure="false">зарплата!#REF!</definedName>
    <definedName function="false" hidden="false" name="ЗарплатаОкладМенеджер14" vbProcedure="false">зарплата!#REF!</definedName>
    <definedName function="false" hidden="false" name="ЗарплатаОкладМенеджер15" vbProcedure="false">зарплата!#REF!</definedName>
    <definedName function="false" hidden="false" name="ЗарплатаОкладМенеджер16" vbProcedure="false">зарплата!#REF!</definedName>
    <definedName function="false" hidden="false" name="ЗарплатаОкладМенеджер17" vbProcedure="false">зарплата!#REF!</definedName>
    <definedName function="false" hidden="false" name="ЗарплатаОкладМенеджер18" vbProcedure="false">зарплата!#REF!</definedName>
    <definedName function="false" hidden="false" name="ЗарплатаОкладМенеджер19" vbProcedure="false">зарплата!#REF!</definedName>
    <definedName function="false" hidden="false" name="ЗарплатаОкладМенеджер2" vbProcedure="false">Зарплата!$J$47</definedName>
    <definedName function="false" hidden="false" name="ЗарплатаОкладМенеджер20" vbProcedure="false">зарплата!#REF!</definedName>
    <definedName function="false" hidden="false" name="ЗарплатаОкладМенеджер3" vbProcedure="false">зарплата!#REF!</definedName>
    <definedName function="false" hidden="false" name="ЗарплатаОкладМенеджер4" vbProcedure="false">зарплата!#REF!</definedName>
    <definedName function="false" hidden="false" name="ЗарплатаОкладМенеджер5" vbProcedure="false">зарплата!#REF!</definedName>
    <definedName function="false" hidden="false" name="ЗарплатаОкладМенеджер6" vbProcedure="false">зарплата!#REF!</definedName>
    <definedName function="false" hidden="false" name="ЗарплатаОкладМенеджер7" vbProcedure="false">зарплата!#REF!</definedName>
    <definedName function="false" hidden="false" name="ЗарплатаОкладМенеджер8" vbProcedure="false">зарплата!#REF!</definedName>
    <definedName function="false" hidden="false" name="ЗарплатаОкладМенеджер9" vbProcedure="false">зарплата!#REF!</definedName>
    <definedName function="false" hidden="false" name="ЗарплатаТурыВсе1" vbProcedure="false">Зарплата!$E$9:$K$9</definedName>
    <definedName function="false" hidden="false" name="ЗарплатаТурыВсе10" vbProcedure="false">зарплата!#REF!</definedName>
    <definedName function="false" hidden="false" name="ЗарплатаТурыВсе11" vbProcedure="false">зарплата!#REF!</definedName>
    <definedName function="false" hidden="false" name="ЗарплатаТурыВсе12" vbProcedure="false">зарплата!#REF!</definedName>
    <definedName function="false" hidden="false" name="ЗарплатаТурыВсе13" vbProcedure="false">зарплата!#REF!</definedName>
    <definedName function="false" hidden="false" name="ЗарплатаТурыВсе14" vbProcedure="false">зарплата!#REF!</definedName>
    <definedName function="false" hidden="false" name="ЗарплатаТурыВсе15" vbProcedure="false">зарплата!#REF!</definedName>
    <definedName function="false" hidden="false" name="ЗарплатаТурыВсе16" vbProcedure="false">зарплата!#REF!</definedName>
    <definedName function="false" hidden="false" name="ЗарплатаТурыВсе17" vbProcedure="false">зарплата!#REF!</definedName>
    <definedName function="false" hidden="false" name="ЗарплатаТурыВсе18" vbProcedure="false">зарплата!#REF!</definedName>
    <definedName function="false" hidden="false" name="ЗарплатаТурыВсе19" vbProcedure="false">зарплата!#REF!</definedName>
    <definedName function="false" hidden="false" name="ЗарплатаТурыВсе2" vbProcedure="false">Зарплата!$E$31:$K$31</definedName>
    <definedName function="false" hidden="false" name="ЗарплатаТурыВсе20" vbProcedure="false">зарплата!#REF!</definedName>
    <definedName function="false" hidden="false" name="ЗарплатаТурыВсе3" vbProcedure="false">зарплата!#REF!</definedName>
    <definedName function="false" hidden="false" name="ЗарплатаТурыВсе4" vbProcedure="false">зарплата!#REF!</definedName>
    <definedName function="false" hidden="false" name="ЗарплатаТурыВсе5" vbProcedure="false">зарплата!#REF!</definedName>
    <definedName function="false" hidden="false" name="ЗарплатаТурыВсе6" vbProcedure="false">зарплата!#REF!</definedName>
    <definedName function="false" hidden="false" name="ЗарплатаТурыВсе7" vbProcedure="false">зарплата!#REF!</definedName>
    <definedName function="false" hidden="false" name="ЗарплатаТурыВсе8" vbProcedure="false">зарплата!#REF!</definedName>
    <definedName function="false" hidden="false" name="ЗарплатаТурыВсе9" vbProcedure="false">зарплата!#REF!</definedName>
    <definedName function="false" hidden="false" name="ЗарплатаТурыМега1" vbProcedure="false">Зарплата!$K$9</definedName>
    <definedName function="false" hidden="false" name="ЗарплатаТурыМега10" vbProcedure="false">зарплата!#REF!</definedName>
    <definedName function="false" hidden="false" name="ЗарплатаТурыМега11" vbProcedure="false">зарплата!#REF!</definedName>
    <definedName function="false" hidden="false" name="ЗарплатаТурыМега12" vbProcedure="false">зарплата!#REF!</definedName>
    <definedName function="false" hidden="false" name="ЗарплатаТурыМега13" vbProcedure="false">зарплата!#REF!</definedName>
    <definedName function="false" hidden="false" name="ЗарплатаТурыМега14" vbProcedure="false">зарплата!#REF!</definedName>
    <definedName function="false" hidden="false" name="ЗарплатаТурыМега15" vbProcedure="false">зарплата!#REF!</definedName>
    <definedName function="false" hidden="false" name="ЗарплатаТурыМега16" vbProcedure="false">зарплата!#REF!</definedName>
    <definedName function="false" hidden="false" name="ЗарплатаТурыМега17" vbProcedure="false">зарплата!#REF!</definedName>
    <definedName function="false" hidden="false" name="ЗарплатаТурыМега18" vbProcedure="false">зарплата!#REF!</definedName>
    <definedName function="false" hidden="false" name="ЗарплатаТурыМега19" vbProcedure="false">зарплата!#REF!</definedName>
    <definedName function="false" hidden="false" name="ЗарплатаТурыМега2" vbProcedure="false">Зарплата!$K$31</definedName>
    <definedName function="false" hidden="false" name="ЗарплатаТурыМега20" vbProcedure="false">зарплата!#REF!</definedName>
    <definedName function="false" hidden="false" name="ЗарплатаТурыМега3" vbProcedure="false">зарплата!#REF!</definedName>
    <definedName function="false" hidden="false" name="ЗарплатаТурыМега4" vbProcedure="false">зарплата!#REF!</definedName>
    <definedName function="false" hidden="false" name="ЗарплатаТурыМега5" vbProcedure="false">зарплата!#REF!</definedName>
    <definedName function="false" hidden="false" name="ЗарплатаТурыМега6" vbProcedure="false">зарплата!#REF!</definedName>
    <definedName function="false" hidden="false" name="ЗарплатаТурыМега7" vbProcedure="false">зарплата!#REF!</definedName>
    <definedName function="false" hidden="false" name="ЗарплатаТурыМега8" vbProcedure="false">зарплата!#REF!</definedName>
    <definedName function="false" hidden="false" name="ЗарплатаТурыМега9" vbProcedure="false">зарплата!#REF!</definedName>
    <definedName function="false" hidden="false" name="ЗарплатаТурыМенеджер1" vbProcedure="false">Зарплата!$O$9</definedName>
    <definedName function="false" hidden="false" name="ЗарплатаТурыМенеджер10" vbProcedure="false">зарплата!#REF!</definedName>
    <definedName function="false" hidden="false" name="ЗарплатаТурыМенеджер11" vbProcedure="false">зарплата!#REF!</definedName>
    <definedName function="false" hidden="false" name="ЗарплатаТурыМенеджер12" vbProcedure="false">зарплата!#REF!</definedName>
    <definedName function="false" hidden="false" name="ЗарплатаТурыМенеджер13" vbProcedure="false">зарплата!#REF!</definedName>
    <definedName function="false" hidden="false" name="ЗарплатаТурыМенеджер14" vbProcedure="false">зарплата!#REF!</definedName>
    <definedName function="false" hidden="false" name="ЗарплатаТурыМенеджер15" vbProcedure="false">зарплата!#REF!</definedName>
    <definedName function="false" hidden="false" name="ЗарплатаТурыМенеджер16" vbProcedure="false">зарплата!#REF!</definedName>
    <definedName function="false" hidden="false" name="ЗарплатаТурыМенеджер17" vbProcedure="false">зарплата!#REF!</definedName>
    <definedName function="false" hidden="false" name="ЗарплатаТурыМенеджер18" vbProcedure="false">зарплата!#REF!</definedName>
    <definedName function="false" hidden="false" name="ЗарплатаТурыМенеджер19" vbProcedure="false">зарплата!#REF!</definedName>
    <definedName function="false" hidden="false" name="ЗарплатаТурыМенеджер2" vbProcedure="false">Зарплата!$O$31</definedName>
    <definedName function="false" hidden="false" name="ЗарплатаТурыМенеджер20" vbProcedure="false">зарплата!#REF!</definedName>
    <definedName function="false" hidden="false" name="ЗарплатаТурыМенеджер3" vbProcedure="false">зарплата!#REF!</definedName>
    <definedName function="false" hidden="false" name="ЗарплатаТурыМенеджер4" vbProcedure="false">зарплата!#REF!</definedName>
    <definedName function="false" hidden="false" name="ЗарплатаТурыМенеджер5" vbProcedure="false">зарплата!#REF!</definedName>
    <definedName function="false" hidden="false" name="ЗарплатаТурыМенеджер6" vbProcedure="false">зарплата!#REF!</definedName>
    <definedName function="false" hidden="false" name="ЗарплатаТурыМенеджер7" vbProcedure="false">зарплата!#REF!</definedName>
    <definedName function="false" hidden="false" name="ЗарплатаТурыМенеджер8" vbProcedure="false">зарплата!#REF!</definedName>
    <definedName function="false" hidden="false" name="ЗарплатаТурыМенеджер9" vbProcedure="false">зарплата!#REF!</definedName>
    <definedName function="false" hidden="false" name="ЗаявкиФактКанал1Менеджер1" vbProcedure="false">Фактеризация!$AI$5</definedName>
    <definedName function="false" hidden="false" name="ЗаявкиФактКанал1Менеджер10" vbProcedure="false">фактеризация!#REF!</definedName>
    <definedName function="false" hidden="false" name="ЗаявкиФактКанал1Менеджер11" vbProcedure="false">фактеризация!#REF!</definedName>
    <definedName function="false" hidden="false" name="ЗаявкиФактКанал1Менеджер12" vbProcedure="false">фактеризация!#REF!</definedName>
    <definedName function="false" hidden="false" name="ЗаявкиФактКанал1Менеджер13" vbProcedure="false">фактеризация!#REF!</definedName>
    <definedName function="false" hidden="false" name="ЗаявкиФактКанал1Менеджер14" vbProcedure="false">фактеризация!#REF!</definedName>
    <definedName function="false" hidden="false" name="ЗаявкиФактКанал1Менеджер15" vbProcedure="false">фактеризация!#REF!</definedName>
    <definedName function="false" hidden="false" name="ЗаявкиФактКанал1Менеджер16" vbProcedure="false">фактеризация!#REF!</definedName>
    <definedName function="false" hidden="false" name="ЗаявкиФактКанал1Менеджер17" vbProcedure="false">фактеризация!#REF!</definedName>
    <definedName function="false" hidden="false" name="ЗаявкиФактКанал1Менеджер18" vbProcedure="false">фактеризация!#REF!</definedName>
    <definedName function="false" hidden="false" name="ЗаявкиФактКанал1Менеджер19" vbProcedure="false">фактеризация!#REF!</definedName>
    <definedName function="false" hidden="false" name="ЗаявкиФактКанал1Менеджер2" vbProcedure="false">Фактеризация!$AI$17</definedName>
    <definedName function="false" hidden="false" name="ЗаявкиФактКанал1Менеджер20" vbProcedure="false">фактеризация!#REF!</definedName>
    <definedName function="false" hidden="false" name="ЗаявкиФактКанал1Менеджер3" vbProcedure="false">фактеризация!#REF!</definedName>
    <definedName function="false" hidden="false" name="ЗаявкиФактКанал1Менеджер4" vbProcedure="false">фактеризация!#REF!</definedName>
    <definedName function="false" hidden="false" name="ЗаявкиФактКанал1Менеджер5" vbProcedure="false">фактеризация!#REF!</definedName>
    <definedName function="false" hidden="false" name="ЗаявкиФактКанал1Менеджер6" vbProcedure="false">фактеризация!#REF!</definedName>
    <definedName function="false" hidden="false" name="ЗаявкиФактКанал1Менеджер7" vbProcedure="false">фактеризация!#REF!</definedName>
    <definedName function="false" hidden="false" name="ЗаявкиФактКанал1Менеджер8" vbProcedure="false">фактеризация!#REF!</definedName>
    <definedName function="false" hidden="false" name="ЗаявкиФактКанал1Менеджер9" vbProcedure="false">фактеризация!#REF!</definedName>
    <definedName function="false" hidden="false" name="ЗаявкиФактКанал2Менеджер1" vbProcedure="false">Фактеризация!$AI$6</definedName>
    <definedName function="false" hidden="false" name="ЗаявкиФактКанал2Менеджер10" vbProcedure="false">фактеризация!#REF!</definedName>
    <definedName function="false" hidden="false" name="ЗаявкиФактКанал2Менеджер11" vbProcedure="false">фактеризация!#REF!</definedName>
    <definedName function="false" hidden="false" name="ЗаявкиФактКанал2Менеджер12" vbProcedure="false">фактеризация!#REF!</definedName>
    <definedName function="false" hidden="false" name="ЗаявкиФактКанал2Менеджер13" vbProcedure="false">фактеризация!#REF!</definedName>
    <definedName function="false" hidden="false" name="ЗаявкиФактКанал2Менеджер14" vbProcedure="false">фактеризация!#REF!</definedName>
    <definedName function="false" hidden="false" name="ЗаявкиФактКанал2Менеджер15" vbProcedure="false">фактеризация!#REF!</definedName>
    <definedName function="false" hidden="false" name="ЗаявкиФактКанал2Менеджер16" vbProcedure="false">фактеризация!#REF!</definedName>
    <definedName function="false" hidden="false" name="ЗаявкиФактКанал2Менеджер17" vbProcedure="false">фактеризация!#REF!</definedName>
    <definedName function="false" hidden="false" name="ЗаявкиФактКанал2Менеджер18" vbProcedure="false">фактеризация!#REF!</definedName>
    <definedName function="false" hidden="false" name="ЗаявкиФактКанал2Менеджер19" vbProcedure="false">фактеризация!#REF!</definedName>
    <definedName function="false" hidden="false" name="ЗаявкиФактКанал2Менеджер2" vbProcedure="false">Фактеризация!$AI$18</definedName>
    <definedName function="false" hidden="false" name="ЗаявкиФактКанал2Менеджер20" vbProcedure="false">фактеризация!#REF!</definedName>
    <definedName function="false" hidden="false" name="ЗаявкиФактКанал2Менеджер3" vbProcedure="false">фактеризация!#REF!</definedName>
    <definedName function="false" hidden="false" name="ЗаявкиФактКанал2Менеджер4" vbProcedure="false">фактеризация!#REF!</definedName>
    <definedName function="false" hidden="false" name="ЗаявкиФактКанал2Менеджер5" vbProcedure="false">фактеризация!#REF!</definedName>
    <definedName function="false" hidden="false" name="ЗаявкиФактКанал2Менеджер6" vbProcedure="false">фактеризация!#REF!</definedName>
    <definedName function="false" hidden="false" name="ЗаявкиФактКанал2Менеджер7" vbProcedure="false">фактеризация!#REF!</definedName>
    <definedName function="false" hidden="false" name="ЗаявкиФактКанал2Менеджер8" vbProcedure="false">фактеризация!#REF!</definedName>
    <definedName function="false" hidden="false" name="ЗаявкиФактКанал2Менеджер9" vbProcedure="false">фактеризация!#REF!</definedName>
    <definedName function="false" hidden="false" name="ЗаявкиФактКанал3Менеджер1" vbProcedure="false">Фактеризация!$AI$7</definedName>
    <definedName function="false" hidden="false" name="ЗаявкиФактКанал3Менеджер10" vbProcedure="false">фактеризация!#REF!</definedName>
    <definedName function="false" hidden="false" name="ЗаявкиФактКанал3Менеджер11" vbProcedure="false">фактеризация!#REF!</definedName>
    <definedName function="false" hidden="false" name="ЗаявкиФактКанал3Менеджер12" vbProcedure="false">фактеризация!#REF!</definedName>
    <definedName function="false" hidden="false" name="ЗаявкиФактКанал3Менеджер13" vbProcedure="false">фактеризация!#REF!</definedName>
    <definedName function="false" hidden="false" name="ЗаявкиФактКанал3Менеджер14" vbProcedure="false">фактеризация!#REF!</definedName>
    <definedName function="false" hidden="false" name="ЗаявкиФактКанал3Менеджер15" vbProcedure="false">фактеризация!#REF!</definedName>
    <definedName function="false" hidden="false" name="ЗаявкиФактКанал3Менеджер16" vbProcedure="false">фактеризация!#REF!</definedName>
    <definedName function="false" hidden="false" name="ЗаявкиФактКанал3Менеджер17" vbProcedure="false">фактеризация!#REF!</definedName>
    <definedName function="false" hidden="false" name="ЗаявкиФактКанал3Менеджер18" vbProcedure="false">фактеризация!#REF!</definedName>
    <definedName function="false" hidden="false" name="ЗаявкиФактКанал3Менеджер19" vbProcedure="false">фактеризация!#REF!</definedName>
    <definedName function="false" hidden="false" name="ЗаявкиФактКанал3Менеджер2" vbProcedure="false">Фактеризация!$AI$19</definedName>
    <definedName function="false" hidden="false" name="ЗаявкиФактКанал3Менеджер20" vbProcedure="false">фактеризация!#REF!</definedName>
    <definedName function="false" hidden="false" name="ЗаявкиФактКанал3Менеджер3" vbProcedure="false">фактеризация!#REF!</definedName>
    <definedName function="false" hidden="false" name="ЗаявкиФактКанал3Менеджер4" vbProcedure="false">фактеризация!#REF!</definedName>
    <definedName function="false" hidden="false" name="ЗаявкиФактКанал3Менеджер5" vbProcedure="false">фактеризация!#REF!</definedName>
    <definedName function="false" hidden="false" name="ЗаявкиФактКанал3Менеджер6" vbProcedure="false">фактеризация!#REF!</definedName>
    <definedName function="false" hidden="false" name="ЗаявкиФактКанал3Менеджер7" vbProcedure="false">фактеризация!#REF!</definedName>
    <definedName function="false" hidden="false" name="ЗаявкиФактКанал3Менеджер8" vbProcedure="false">фактеризация!#REF!</definedName>
    <definedName function="false" hidden="false" name="ЗаявкиФактКанал3Менеджер9" vbProcedure="false">фактеризация!#REF!</definedName>
    <definedName function="false" hidden="false" name="ЗаявкиФактКанал4Менеджер1" vbProcedure="false">Фактеризация!$AI$8</definedName>
    <definedName function="false" hidden="false" name="ЗаявкиФактКанал4Менеджер10" vbProcedure="false">фактеризация!#REF!</definedName>
    <definedName function="false" hidden="false" name="ЗаявкиФактКанал4Менеджер11" vbProcedure="false">фактеризация!#REF!</definedName>
    <definedName function="false" hidden="false" name="ЗаявкиФактКанал4Менеджер12" vbProcedure="false">фактеризация!#REF!</definedName>
    <definedName function="false" hidden="false" name="ЗаявкиФактКанал4Менеджер13" vbProcedure="false">фактеризация!#REF!</definedName>
    <definedName function="false" hidden="false" name="ЗаявкиФактКанал4Менеджер14" vbProcedure="false">фактеризация!#REF!</definedName>
    <definedName function="false" hidden="false" name="ЗаявкиФактКанал4Менеджер15" vbProcedure="false">фактеризация!#REF!</definedName>
    <definedName function="false" hidden="false" name="ЗаявкиФактКанал4Менеджер16" vbProcedure="false">фактеризация!#REF!</definedName>
    <definedName function="false" hidden="false" name="ЗаявкиФактКанал4Менеджер17" vbProcedure="false">фактеризация!#REF!</definedName>
    <definedName function="false" hidden="false" name="ЗаявкиФактКанал4Менеджер18" vbProcedure="false">фактеризация!#REF!</definedName>
    <definedName function="false" hidden="false" name="ЗаявкиФактКанал4Менеджер19" vbProcedure="false">фактеризация!#REF!</definedName>
    <definedName function="false" hidden="false" name="ЗаявкиФактКанал4Менеджер2" vbProcedure="false">Фактеризация!$AI$20</definedName>
    <definedName function="false" hidden="false" name="ЗаявкиФактКанал4Менеджер20" vbProcedure="false">фактеризация!#REF!</definedName>
    <definedName function="false" hidden="false" name="ЗаявкиФактКанал4Менеджер3" vbProcedure="false">фактеризация!#REF!</definedName>
    <definedName function="false" hidden="false" name="ЗаявкиФактКанал4Менеджер4" vbProcedure="false">фактеризация!#REF!</definedName>
    <definedName function="false" hidden="false" name="ЗаявкиФактКанал4Менеджер5" vbProcedure="false">фактеризация!#REF!</definedName>
    <definedName function="false" hidden="false" name="ЗаявкиФактКанал4Менеджер6" vbProcedure="false">фактеризация!#REF!</definedName>
    <definedName function="false" hidden="false" name="ЗаявкиФактКанал4Менеджер7" vbProcedure="false">фактеризация!#REF!</definedName>
    <definedName function="false" hidden="false" name="ЗаявкиФактКанал4Менеджер8" vbProcedure="false">фактеризация!#REF!</definedName>
    <definedName function="false" hidden="false" name="ЗаявкиФактКанал4Менеджер9" vbProcedure="false">фактеризация!#REF!</definedName>
    <definedName function="false" hidden="false" name="ЗаявкиФактКанал5Менеджер1" vbProcedure="false">Фактеризация!$AI$9</definedName>
    <definedName function="false" hidden="false" name="ЗаявкиФактКанал5Менеджер10" vbProcedure="false">фактеризация!#REF!</definedName>
    <definedName function="false" hidden="false" name="ЗаявкиФактКанал5Менеджер11" vbProcedure="false">фактеризация!#REF!</definedName>
    <definedName function="false" hidden="false" name="ЗаявкиФактКанал5Менеджер12" vbProcedure="false">фактеризация!#REF!</definedName>
    <definedName function="false" hidden="false" name="ЗаявкиФактКанал5Менеджер13" vbProcedure="false">фактеризация!#REF!</definedName>
    <definedName function="false" hidden="false" name="ЗаявкиФактКанал5Менеджер14" vbProcedure="false">фактеризация!#REF!</definedName>
    <definedName function="false" hidden="false" name="ЗаявкиФактКанал5Менеджер15" vbProcedure="false">фактеризация!#REF!</definedName>
    <definedName function="false" hidden="false" name="ЗаявкиФактКанал5Менеджер16" vbProcedure="false">фактеризация!#REF!</definedName>
    <definedName function="false" hidden="false" name="ЗаявкиФактКанал5Менеджер17" vbProcedure="false">фактеризация!#REF!</definedName>
    <definedName function="false" hidden="false" name="ЗаявкиФактКанал5Менеджер18" vbProcedure="false">фактеризация!#REF!</definedName>
    <definedName function="false" hidden="false" name="ЗаявкиФактКанал5Менеджер19" vbProcedure="false">фактеризация!#REF!</definedName>
    <definedName function="false" hidden="false" name="ЗаявкиФактКанал5Менеджер2" vbProcedure="false">Фактеризация!$AI$21</definedName>
    <definedName function="false" hidden="false" name="ЗаявкиФактКанал5Менеджер20" vbProcedure="false">фактеризация!#REF!</definedName>
    <definedName function="false" hidden="false" name="ЗаявкиФактКанал5Менеджер3" vbProcedure="false">фактеризация!#REF!</definedName>
    <definedName function="false" hidden="false" name="ЗаявкиФактКанал5Менеджер4" vbProcedure="false">фактеризация!#REF!</definedName>
    <definedName function="false" hidden="false" name="ЗаявкиФактКанал5Менеджер5" vbProcedure="false">фактеризация!#REF!</definedName>
    <definedName function="false" hidden="false" name="ЗаявкиФактКанал5Менеджер6" vbProcedure="false">фактеризация!#REF!</definedName>
    <definedName function="false" hidden="false" name="ЗаявкиФактКанал5Менеджер7" vbProcedure="false">фактеризация!#REF!</definedName>
    <definedName function="false" hidden="false" name="ЗаявкиФактКанал5Менеджер8" vbProcedure="false">фактеризация!#REF!</definedName>
    <definedName function="false" hidden="false" name="ЗаявкиФактКанал5Менеджер9" vbProcedure="false">фактеризация!#REF!</definedName>
    <definedName function="false" hidden="false" name="ЗаявкиФактКанал6Менеджер1" vbProcedure="false">Фактеризация!$AI$10</definedName>
    <definedName function="false" hidden="false" name="ЗаявкиФактКанал6Менеджер10" vbProcedure="false">фактеризация!#REF!</definedName>
    <definedName function="false" hidden="false" name="ЗаявкиФактКанал6Менеджер11" vbProcedure="false">фактеризация!#REF!</definedName>
    <definedName function="false" hidden="false" name="ЗаявкиФактКанал6Менеджер12" vbProcedure="false">фактеризация!#REF!</definedName>
    <definedName function="false" hidden="false" name="ЗаявкиФактКанал6Менеджер13" vbProcedure="false">фактеризация!#REF!</definedName>
    <definedName function="false" hidden="false" name="ЗаявкиФактКанал6Менеджер14" vbProcedure="false">фактеризация!#REF!</definedName>
    <definedName function="false" hidden="false" name="ЗаявкиФактКанал6Менеджер15" vbProcedure="false">фактеризация!#REF!</definedName>
    <definedName function="false" hidden="false" name="ЗаявкиФактКанал6Менеджер16" vbProcedure="false">фактеризация!#REF!</definedName>
    <definedName function="false" hidden="false" name="ЗаявкиФактКанал6Менеджер17" vbProcedure="false">фактеризация!#REF!</definedName>
    <definedName function="false" hidden="false" name="ЗаявкиФактКанал6Менеджер18" vbProcedure="false">фактеризация!#REF!</definedName>
    <definedName function="false" hidden="false" name="ЗаявкиФактКанал6Менеджер19" vbProcedure="false">фактеризация!#REF!</definedName>
    <definedName function="false" hidden="false" name="ЗаявкиФактКанал6Менеджер2" vbProcedure="false">Фактеризация!$AI$22</definedName>
    <definedName function="false" hidden="false" name="ЗаявкиФактКанал6Менеджер20" vbProcedure="false">фактеризация!#REF!</definedName>
    <definedName function="false" hidden="false" name="ЗаявкиФактКанал6Менеджер3" vbProcedure="false">фактеризация!#REF!</definedName>
    <definedName function="false" hidden="false" name="ЗаявкиФактКанал6Менеджер4" vbProcedure="false">фактеризация!#REF!</definedName>
    <definedName function="false" hidden="false" name="ЗаявкиФактКанал6Менеджер5" vbProcedure="false">фактеризация!#REF!</definedName>
    <definedName function="false" hidden="false" name="ЗаявкиФактКанал6Менеджер6" vbProcedure="false">фактеризация!#REF!</definedName>
    <definedName function="false" hidden="false" name="ЗаявкиФактКанал6Менеджер7" vbProcedure="false">фактеризация!#REF!</definedName>
    <definedName function="false" hidden="false" name="ЗаявкиФактКанал6Менеджер8" vbProcedure="false">фактеризация!#REF!</definedName>
    <definedName function="false" hidden="false" name="ЗаявкиФактКанал6Менеджер9" vbProcedure="false">фактеризация!#REF!</definedName>
    <definedName function="false" hidden="false" name="ЗаявкиФактКанал7Менеджер1" vbProcedure="false">Фактеризация!$AI$11</definedName>
    <definedName function="false" hidden="false" name="ЗаявкиФактКанал7Менеджер10" vbProcedure="false">фактеризация!#REF!</definedName>
    <definedName function="false" hidden="false" name="ЗаявкиФактКанал7Менеджер11" vbProcedure="false">фактеризация!#REF!</definedName>
    <definedName function="false" hidden="false" name="ЗаявкиФактКанал7Менеджер12" vbProcedure="false">фактеризация!#REF!</definedName>
    <definedName function="false" hidden="false" name="ЗаявкиФактКанал7Менеджер13" vbProcedure="false">фактеризация!#REF!</definedName>
    <definedName function="false" hidden="false" name="ЗаявкиФактКанал7Менеджер14" vbProcedure="false">фактеризация!#REF!</definedName>
    <definedName function="false" hidden="false" name="ЗаявкиФактКанал7Менеджер15" vbProcedure="false">фактеризация!#REF!</definedName>
    <definedName function="false" hidden="false" name="ЗаявкиФактКанал7Менеджер16" vbProcedure="false">фактеризация!#REF!</definedName>
    <definedName function="false" hidden="false" name="ЗаявкиФактКанал7Менеджер17" vbProcedure="false">фактеризация!#REF!</definedName>
    <definedName function="false" hidden="false" name="ЗаявкиФактКанал7Менеджер18" vbProcedure="false">фактеризация!#REF!</definedName>
    <definedName function="false" hidden="false" name="ЗаявкиФактКанал7Менеджер19" vbProcedure="false">фактеризация!#REF!</definedName>
    <definedName function="false" hidden="false" name="ЗаявкиФактКанал7Менеджер2" vbProcedure="false">Фактеризация!$AI$23</definedName>
    <definedName function="false" hidden="false" name="ЗаявкиФактКанал7Менеджер20" vbProcedure="false">фактеризация!#REF!</definedName>
    <definedName function="false" hidden="false" name="ЗаявкиФактКанал7Менеджер3" vbProcedure="false">фактеризация!#REF!</definedName>
    <definedName function="false" hidden="false" name="ЗаявкиФактКанал7Менеджер4" vbProcedure="false">фактеризация!#REF!</definedName>
    <definedName function="false" hidden="false" name="ЗаявкиФактКанал7Менеджер5" vbProcedure="false">фактеризация!#REF!</definedName>
    <definedName function="false" hidden="false" name="ЗаявкиФактКанал7Менеджер6" vbProcedure="false">фактеризация!#REF!</definedName>
    <definedName function="false" hidden="false" name="ЗаявкиФактКанал7Менеджер7" vbProcedure="false">фактеризация!#REF!</definedName>
    <definedName function="false" hidden="false" name="ЗаявкиФактКанал7Менеджер8" vbProcedure="false">фактеризация!#REF!</definedName>
    <definedName function="false" hidden="false" name="ЗаявкиФактКанал7Менеджер9" vbProcedure="false">фактеризация!#REF!</definedName>
    <definedName function="false" hidden="false" name="ИндивидуальныеЗаданияМенеджер1" vbProcedure="false">Зарплата!$B$15</definedName>
    <definedName function="false" hidden="false" name="ИндивидуальныеЗаданияМенеджер10" vbProcedure="false">зарплата!#REF!</definedName>
    <definedName function="false" hidden="false" name="ИндивидуальныеЗаданияМенеджер11" vbProcedure="false">зарплата!#REF!</definedName>
    <definedName function="false" hidden="false" name="ИндивидуальныеЗаданияМенеджер12" vbProcedure="false">зарплата!#REF!</definedName>
    <definedName function="false" hidden="false" name="ИндивидуальныеЗаданияМенеджер13" vbProcedure="false">зарплата!#REF!</definedName>
    <definedName function="false" hidden="false" name="ИндивидуальныеЗаданияМенеджер14" vbProcedure="false">зарплата!#REF!</definedName>
    <definedName function="false" hidden="false" name="ИндивидуальныеЗаданияМенеджер15" vbProcedure="false">зарплата!#REF!</definedName>
    <definedName function="false" hidden="false" name="ИндивидуальныеЗаданияМенеджер16" vbProcedure="false">зарплата!#REF!</definedName>
    <definedName function="false" hidden="false" name="ИндивидуальныеЗаданияМенеджер17" vbProcedure="false">зарплата!#REF!</definedName>
    <definedName function="false" hidden="false" name="ИндивидуальныеЗаданияМенеджер18" vbProcedure="false">зарплата!#REF!</definedName>
    <definedName function="false" hidden="false" name="ИндивидуальныеЗаданияМенеджер19" vbProcedure="false">зарплата!#REF!</definedName>
    <definedName function="false" hidden="false" name="ИндивидуальныеЗаданияМенеджер2" vbProcedure="false">Зарплата!$B$37</definedName>
    <definedName function="false" hidden="false" name="ИндивидуальныеЗаданияМенеджер20" vbProcedure="false">зарплата!#REF!</definedName>
    <definedName function="false" hidden="false" name="ИндивидуальныеЗаданияМенеджер3" vbProcedure="false">зарплата!#REF!</definedName>
    <definedName function="false" hidden="false" name="ИндивидуальныеЗаданияМенеджер4" vbProcedure="false">зарплата!#REF!</definedName>
    <definedName function="false" hidden="false" name="ИндивидуальныеЗаданияМенеджер5" vbProcedure="false">зарплата!#REF!</definedName>
    <definedName function="false" hidden="false" name="ИндивидуальныеЗаданияМенеджер6" vbProcedure="false">зарплата!#REF!</definedName>
    <definedName function="false" hidden="false" name="ИндивидуальныеЗаданияМенеджер7" vbProcedure="false">зарплата!#REF!</definedName>
    <definedName function="false" hidden="false" name="ИндивидуальныеЗаданияМенеджер8" vbProcedure="false">зарплата!#REF!</definedName>
    <definedName function="false" hidden="false" name="ИндивидуальныеЗаданияМенеджер9" vbProcedure="false">зарплата!#REF!</definedName>
    <definedName function="false" hidden="false" name="Менеджер_1" vbProcedure="false">Зарплата!$B$6</definedName>
    <definedName function="false" hidden="false" name="Менеджер_10" vbProcedure="false">зарплата!#REF!</definedName>
    <definedName function="false" hidden="false" name="Менеджер_11" vbProcedure="false">зарплата!#REF!</definedName>
    <definedName function="false" hidden="false" name="Менеджер_12" vbProcedure="false">зарплата!#REF!</definedName>
    <definedName function="false" hidden="false" name="Менеджер_13" vbProcedure="false">зарплата!#REF!</definedName>
    <definedName function="false" hidden="false" name="Менеджер_14" vbProcedure="false">зарплата!#REF!</definedName>
    <definedName function="false" hidden="false" name="Менеджер_15" vbProcedure="false">зарплата!#REF!</definedName>
    <definedName function="false" hidden="false" name="Менеджер_16" vbProcedure="false">зарплата!#REF!</definedName>
    <definedName function="false" hidden="false" name="Менеджер_17" vbProcedure="false">зарплата!#REF!</definedName>
    <definedName function="false" hidden="false" name="Менеджер_18" vbProcedure="false">зарплата!#REF!</definedName>
    <definedName function="false" hidden="false" name="Менеджер_19" vbProcedure="false">зарплата!#REF!</definedName>
    <definedName function="false" hidden="false" name="Менеджер_2" vbProcedure="false">Зарплата!$B$28</definedName>
    <definedName function="false" hidden="false" name="Менеджер_20" vbProcedure="false">зарплата!#REF!</definedName>
    <definedName function="false" hidden="false" name="Менеджер_3" vbProcedure="false">зарплата!#REF!</definedName>
    <definedName function="false" hidden="false" name="Менеджер_4" vbProcedure="false">зарплата!#REF!</definedName>
    <definedName function="false" hidden="false" name="Менеджер_5" vbProcedure="false">зарплата!#REF!</definedName>
    <definedName function="false" hidden="false" name="Менеджер_6" vbProcedure="false">зарплата!#REF!</definedName>
    <definedName function="false" hidden="false" name="Менеджер_7" vbProcedure="false">зарплата!#REF!</definedName>
    <definedName function="false" hidden="false" name="Менеджер_8" vbProcedure="false">зарплата!#REF!</definedName>
    <definedName function="false" hidden="false" name="Менеджер_9" vbProcedure="false">зарплата!#REF!</definedName>
    <definedName function="false" hidden="false" name="НарастающийИтогДоля" vbProcedure="false">Настройки!$G$15</definedName>
    <definedName function="false" hidden="false" name="ПланДопы" vbProcedure="false">Зарплата!$S$2</definedName>
    <definedName function="false" hidden="false" name="ПланТуры" vbProcedure="false">Зарплата!$M$2</definedName>
    <definedName function="false" hidden="false" name="ПлохиеДелаМенеджер1" vbProcedure="false">Зарплата!$S$18</definedName>
    <definedName function="false" hidden="false" name="ПлохиеДелаМенеджер10" vbProcedure="false">зарплата!#REF!</definedName>
    <definedName function="false" hidden="false" name="ПлохиеДелаМенеджер11" vbProcedure="false">зарплата!#REF!</definedName>
    <definedName function="false" hidden="false" name="ПлохиеДелаМенеджер12" vbProcedure="false">зарплата!#REF!</definedName>
    <definedName function="false" hidden="false" name="ПлохиеДелаМенеджер13" vbProcedure="false">зарплата!#REF!</definedName>
    <definedName function="false" hidden="false" name="ПлохиеДелаМенеджер14" vbProcedure="false">зарплата!#REF!</definedName>
    <definedName function="false" hidden="false" name="ПлохиеДелаМенеджер15" vbProcedure="false">зарплата!#REF!</definedName>
    <definedName function="false" hidden="false" name="ПлохиеДелаМенеджер16" vbProcedure="false">зарплата!#REF!</definedName>
    <definedName function="false" hidden="false" name="ПлохиеДелаМенеджер17" vbProcedure="false">зарплата!#REF!</definedName>
    <definedName function="false" hidden="false" name="ПлохиеДелаМенеджер18" vbProcedure="false">зарплата!#REF!</definedName>
    <definedName function="false" hidden="false" name="ПлохиеДелаМенеджер19" vbProcedure="false">зарплата!#REF!</definedName>
    <definedName function="false" hidden="false" name="ПлохиеДелаМенеджер2" vbProcedure="false">Зарплата!$S$40</definedName>
    <definedName function="false" hidden="false" name="ПлохиеДелаМенеджер20" vbProcedure="false">зарплата!#REF!</definedName>
    <definedName function="false" hidden="false" name="ПлохиеДелаМенеджер3" vbProcedure="false">зарплата!#REF!</definedName>
    <definedName function="false" hidden="false" name="ПлохиеДелаМенеджер4" vbProcedure="false">зарплата!#REF!</definedName>
    <definedName function="false" hidden="false" name="ПлохиеДелаМенеджер5" vbProcedure="false">зарплата!#REF!</definedName>
    <definedName function="false" hidden="false" name="ПлохиеДелаМенеджер6" vbProcedure="false">зарплата!#REF!</definedName>
    <definedName function="false" hidden="false" name="ПлохиеДелаМенеджер7" vbProcedure="false">зарплата!#REF!</definedName>
    <definedName function="false" hidden="false" name="ПлохиеДелаМенеджер8" vbProcedure="false">зарплата!#REF!</definedName>
    <definedName function="false" hidden="false" name="ПлохиеДелаМенеджер9" vbProcedure="false">зарплата!#REF!</definedName>
    <definedName function="false" hidden="false" name="СреднийЧек" vbProcedure="false">Настройки!$I$15</definedName>
    <definedName function="false" hidden="false" name="Факт_допы" vbProcedure="false">Служебный!$B$9</definedName>
    <definedName function="false" hidden="false" name="Факт_туры" vbProcedure="false">Служебный!$B$8</definedName>
    <definedName function="false" hidden="false" name="ФактДопыМенеджер1" vbProcedure="false">Фактеризация!$AI$13</definedName>
    <definedName function="false" hidden="false" name="ФактДопыМенеджер10" vbProcedure="false">фактеризация!#REF!</definedName>
    <definedName function="false" hidden="false" name="ФактДопыМенеджер11" vbProcedure="false">фактеризация!#REF!</definedName>
    <definedName function="false" hidden="false" name="ФактДопыМенеджер12" vbProcedure="false">фактеризация!#REF!</definedName>
    <definedName function="false" hidden="false" name="ФактДопыМенеджер13" vbProcedure="false">фактеризация!#REF!</definedName>
    <definedName function="false" hidden="false" name="ФактДопыМенеджер14" vbProcedure="false">фактеризация!#REF!</definedName>
    <definedName function="false" hidden="false" name="ФактДопыМенеджер15" vbProcedure="false">фактеризация!#REF!</definedName>
    <definedName function="false" hidden="false" name="ФактДопыМенеджер16" vbProcedure="false">фактеризация!#REF!</definedName>
    <definedName function="false" hidden="false" name="ФактДопыМенеджер17" vbProcedure="false">фактеризация!#REF!</definedName>
    <definedName function="false" hidden="false" name="ФактДопыМенеджер18" vbProcedure="false">фактеризация!#REF!</definedName>
    <definedName function="false" hidden="false" name="ФактДопыМенеджер19" vbProcedure="false">фактеризация!#REF!</definedName>
    <definedName function="false" hidden="false" name="ФактДопыМенеджер2" vbProcedure="false">Фактеризация!$AI$25</definedName>
    <definedName function="false" hidden="false" name="ФактДопыМенеджер20" vbProcedure="false">фактеризация!#REF!</definedName>
    <definedName function="false" hidden="false" name="ФактДопыМенеджер3" vbProcedure="false">фактеризация!#REF!</definedName>
    <definedName function="false" hidden="false" name="ФактДопыМенеджер4" vbProcedure="false">фактеризация!#REF!</definedName>
    <definedName function="false" hidden="false" name="ФактДопыМенеджер5" vbProcedure="false">фактеризация!#REF!</definedName>
    <definedName function="false" hidden="false" name="ФактДопыМенеджер6" vbProcedure="false">фактеризация!#REF!</definedName>
    <definedName function="false" hidden="false" name="ФактДопыМенеджер7" vbProcedure="false">фактеризация!#REF!</definedName>
    <definedName function="false" hidden="false" name="ФактДопыМенеджер8" vbProcedure="false">фактеризация!#REF!</definedName>
    <definedName function="false" hidden="false" name="ФактДопыМенеджер9" vbProcedure="false">фактеризация!#REF!</definedName>
    <definedName function="false" hidden="false" name="ФактТурыМенеджер1" vbProcedure="false">Фактеризация!$AI$12</definedName>
    <definedName function="false" hidden="false" name="ФактТурыМенеджер10" vbProcedure="false">фактеризация!#REF!</definedName>
    <definedName function="false" hidden="false" name="ФактТурыМенеджер11" vbProcedure="false">фактеризация!#REF!</definedName>
    <definedName function="false" hidden="false" name="ФактТурыМенеджер12" vbProcedure="false">фактеризация!#REF!</definedName>
    <definedName function="false" hidden="false" name="ФактТурыМенеджер13" vbProcedure="false">фактеризация!#REF!</definedName>
    <definedName function="false" hidden="false" name="ФактТурыМенеджер14" vbProcedure="false">фактеризация!#REF!</definedName>
    <definedName function="false" hidden="false" name="ФактТурыМенеджер15" vbProcedure="false">фактеризация!#REF!</definedName>
    <definedName function="false" hidden="false" name="ФактТурыМенеджер16" vbProcedure="false">фактеризация!#REF!</definedName>
    <definedName function="false" hidden="false" name="ФактТурыМенеджер17" vbProcedure="false">фактеризация!#REF!</definedName>
    <definedName function="false" hidden="false" name="ФактТурыМенеджер18" vbProcedure="false">фактеризация!#REF!</definedName>
    <definedName function="false" hidden="false" name="ФактТурыМенеджер19" vbProcedure="false">фактеризация!#REF!</definedName>
    <definedName function="false" hidden="false" name="ФактТурыМенеджер2" vbProcedure="false">Фактеризация!$AI$24</definedName>
    <definedName function="false" hidden="false" name="ФактТурыМенеджер20" vbProcedure="false">фактеризация!#REF!</definedName>
    <definedName function="false" hidden="false" name="ФактТурыМенеджер3" vbProcedure="false">фактеризация!#REF!</definedName>
    <definedName function="false" hidden="false" name="ФактТурыМенеджер4" vbProcedure="false">фактеризация!#REF!</definedName>
    <definedName function="false" hidden="false" name="ФактТурыМенеджер5" vbProcedure="false">фактеризация!#REF!</definedName>
    <definedName function="false" hidden="false" name="ФактТурыМенеджер6" vbProcedure="false">фактеризация!#REF!</definedName>
    <definedName function="false" hidden="false" name="ФактТурыМенеджер7" vbProcedure="false">фактеризация!#REF!</definedName>
    <definedName function="false" hidden="false" name="ФактТурыМенеджер8" vbProcedure="false">фактеризация!#REF!</definedName>
    <definedName function="false" hidden="false" name="ФактТурыМенеджер9" vbProcedure="false">фактеризация!#REF!</definedName>
    <definedName function="false" hidden="false" name="ХорошиеДелаМенеджер1" vbProcedure="false">Зарплата!$S$9</definedName>
    <definedName function="false" hidden="false" name="ХорошиеДелаМенеджер10" vbProcedure="false">зарплата!#REF!</definedName>
    <definedName function="false" hidden="false" name="ХорошиеДелаМенеджер11" vbProcedure="false">зарплата!#REF!</definedName>
    <definedName function="false" hidden="false" name="ХорошиеДелаМенеджер12" vbProcedure="false">зарплата!#REF!</definedName>
    <definedName function="false" hidden="false" name="ХорошиеДелаМенеджер13" vbProcedure="false">зарплата!#REF!</definedName>
    <definedName function="false" hidden="false" name="ХорошиеДелаМенеджер14" vbProcedure="false">зарплата!#REF!</definedName>
    <definedName function="false" hidden="false" name="ХорошиеДелаМенеджер15" vbProcedure="false">зарплата!#REF!</definedName>
    <definedName function="false" hidden="false" name="ХорошиеДелаМенеджер16" vbProcedure="false">зарплата!#REF!</definedName>
    <definedName function="false" hidden="false" name="ХорошиеДелаМенеджер17" vbProcedure="false">зарплата!#REF!</definedName>
    <definedName function="false" hidden="false" name="ХорошиеДелаМенеджер18" vbProcedure="false">зарплата!#REF!</definedName>
    <definedName function="false" hidden="false" name="ХорошиеДелаМенеджер19" vbProcedure="false">зарплата!#REF!</definedName>
    <definedName function="false" hidden="false" name="ХорошиеДелаМенеджер2" vbProcedure="false">Зарплата!$S$31</definedName>
    <definedName function="false" hidden="false" name="ХорошиеДелаМенеджер20" vbProcedure="false">зарплата!#REF!</definedName>
    <definedName function="false" hidden="false" name="ХорошиеДелаМенеджер3" vbProcedure="false">зарплата!#REF!</definedName>
    <definedName function="false" hidden="false" name="ХорошиеДелаМенеджер4" vbProcedure="false">зарплата!#REF!</definedName>
    <definedName function="false" hidden="false" name="ХорошиеДелаМенеджер5" vbProcedure="false">зарплата!#REF!</definedName>
    <definedName function="false" hidden="false" name="ХорошиеДелаМенеджер6" vbProcedure="false">зарплата!#REF!</definedName>
    <definedName function="false" hidden="false" name="ХорошиеДелаМенеджер7" vbProcedure="false">зарплата!#REF!</definedName>
    <definedName function="false" hidden="false" name="ХорошиеДелаМенеджер8" vbProcedure="false">зарплата!#REF!</definedName>
    <definedName function="false" hidden="false" name="ХорошиеДелаМенеджер9" vbProcedure="false">зарплата!#REF!</definedName>
    <definedName function="false" hidden="false" name="ЦельДопыМенеджер1" vbProcedure="false">Зарплата!$H$12</definedName>
    <definedName function="false" hidden="false" name="ЦельДопыМенеджер10" vbProcedure="false">зарплата!#REF!</definedName>
    <definedName function="false" hidden="false" name="ЦельДопыМенеджер11" vbProcedure="false">зарплата!#REF!</definedName>
    <definedName function="false" hidden="false" name="ЦельДопыМенеджер12" vbProcedure="false">зарплата!#REF!</definedName>
    <definedName function="false" hidden="false" name="ЦельДопыМенеджер13" vbProcedure="false">зарплата!#REF!</definedName>
    <definedName function="false" hidden="false" name="ЦельДопыМенеджер14" vbProcedure="false">зарплата!#REF!</definedName>
    <definedName function="false" hidden="false" name="ЦельДопыМенеджер15" vbProcedure="false">зарплата!#REF!</definedName>
    <definedName function="false" hidden="false" name="ЦельДопыМенеджер16" vbProcedure="false">зарплата!#REF!</definedName>
    <definedName function="false" hidden="false" name="ЦельДопыМенеджер17" vbProcedure="false">зарплата!#REF!</definedName>
    <definedName function="false" hidden="false" name="ЦельДопыМенеджер18" vbProcedure="false">зарплата!#REF!</definedName>
    <definedName function="false" hidden="false" name="ЦельДопыМенеджер19" vbProcedure="false">зарплата!#REF!</definedName>
    <definedName function="false" hidden="false" name="ЦельДопыМенеджер2" vbProcedure="false">Зарплата!$H$34</definedName>
    <definedName function="false" hidden="false" name="ЦельДопыМенеджер20" vbProcedure="false">зарплата!#REF!</definedName>
    <definedName function="false" hidden="false" name="ЦельДопыМенеджер3" vbProcedure="false">зарплата!#REF!</definedName>
    <definedName function="false" hidden="false" name="ЦельДопыМенеджер4" vbProcedure="false">зарплата!#REF!</definedName>
    <definedName function="false" hidden="false" name="ЦельДопыМенеджер5" vbProcedure="false">зарплата!#REF!</definedName>
    <definedName function="false" hidden="false" name="ЦельДопыМенеджер6" vbProcedure="false">зарплата!#REF!</definedName>
    <definedName function="false" hidden="false" name="ЦельДопыМенеджер7" vbProcedure="false">зарплата!#REF!</definedName>
    <definedName function="false" hidden="false" name="ЦельДопыМенеджер8" vbProcedure="false">зарплата!#REF!</definedName>
    <definedName function="false" hidden="false" name="ЦельДопыМенеджер9" vbProcedure="false">зарплата!#REF!</definedName>
    <definedName function="false" hidden="false" name="ЦельТурыМенеджер1" vbProcedure="false">Зарплата!$H$9</definedName>
    <definedName function="false" hidden="false" name="ЦельТурыМенеджер10" vbProcedure="false">зарплата!#REF!</definedName>
    <definedName function="false" hidden="false" name="ЦельТурыМенеджер11" vbProcedure="false">зарплата!#REF!</definedName>
    <definedName function="false" hidden="false" name="ЦельТурыМенеджер12" vbProcedure="false">зарплата!#REF!</definedName>
    <definedName function="false" hidden="false" name="ЦельТурыМенеджер13" vbProcedure="false">зарплата!#REF!</definedName>
    <definedName function="false" hidden="false" name="ЦельТурыМенеджер14" vbProcedure="false">зарплата!#REF!</definedName>
    <definedName function="false" hidden="false" name="ЦельТурыМенеджер15" vbProcedure="false">зарплата!#REF!</definedName>
    <definedName function="false" hidden="false" name="ЦельТурыМенеджер16" vbProcedure="false">зарплата!#REF!</definedName>
    <definedName function="false" hidden="false" name="ЦельТурыМенеджер17" vbProcedure="false">зарплата!#REF!</definedName>
    <definedName function="false" hidden="false" name="ЦельТурыМенеджер18" vbProcedure="false">зарплата!#REF!</definedName>
    <definedName function="false" hidden="false" name="ЦельТурыМенеджер19" vbProcedure="false">зарплата!#REF!</definedName>
    <definedName function="false" hidden="false" name="ЦельТурыМенеджер2" vbProcedure="false">Зарплата!$H$31</definedName>
    <definedName function="false" hidden="false" name="ЦельТурыМенеджер20" vbProcedure="false">зарплата!#REF!</definedName>
    <definedName function="false" hidden="false" name="ЦельТурыМенеджер3" vbProcedure="false">зарплата!#REF!</definedName>
    <definedName function="false" hidden="false" name="ЦельТурыМенеджер4" vbProcedure="false">зарплата!#REF!</definedName>
    <definedName function="false" hidden="false" name="ЦельТурыМенеджер5" vbProcedure="false">зарплата!#REF!</definedName>
    <definedName function="false" hidden="false" name="ЦельТурыМенеджер6" vbProcedure="false">зарплата!#REF!</definedName>
    <definedName function="false" hidden="false" name="ЦельТурыМенеджер7" vbProcedure="false">зарплата!#REF!</definedName>
    <definedName function="false" hidden="false" name="ЦельТурыМенеджер8" vbProcedure="false">зарплата!#REF!</definedName>
    <definedName function="false" hidden="false" name="ЦельТурыМенеджер9" vbProcedure="false">зарплата!#REF!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<sst xmlns="http://schemas.openxmlformats.org/spreadsheetml/2006/main" count="452" uniqueCount="139">
  <si>
    <t xml:space="preserve">Цель</t>
  </si>
  <si>
    <t xml:space="preserve">Факт</t>
  </si>
  <si>
    <t xml:space="preserve">% выполнения</t>
  </si>
  <si>
    <t xml:space="preserve">% вып.</t>
  </si>
  <si>
    <t xml:space="preserve">Продай еще на</t>
  </si>
  <si>
    <t xml:space="preserve">чтобы достичь порога</t>
  </si>
  <si>
    <t xml:space="preserve">и получить комиссию</t>
  </si>
  <si>
    <t xml:space="preserve">Моя карма</t>
  </si>
  <si>
    <t xml:space="preserve">Хорошие дела</t>
  </si>
  <si>
    <t xml:space="preserve">Количество</t>
  </si>
  <si>
    <t xml:space="preserve">Цена</t>
  </si>
  <si>
    <t xml:space="preserve">Итого</t>
  </si>
  <si>
    <t xml:space="preserve">Плохие дела</t>
  </si>
  <si>
    <t xml:space="preserve">Мои индивидуальные задания</t>
  </si>
  <si>
    <t xml:space="preserve">Индивидуальные задания</t>
  </si>
  <si>
    <t xml:space="preserve">Минимум</t>
  </si>
  <si>
    <t xml:space="preserve">Бонус</t>
  </si>
  <si>
    <t xml:space="preserve">К выплате</t>
  </si>
  <si>
    <t xml:space="preserve">Бонус за продажи туров:</t>
  </si>
  <si>
    <t xml:space="preserve">Бонус за продажи дополнительных услуг:</t>
  </si>
  <si>
    <t xml:space="preserve">Бонус за выполнение индивидуальных заданий:</t>
  </si>
  <si>
    <t xml:space="preserve">Моя карма:</t>
  </si>
  <si>
    <t xml:space="preserve">Мой оклад:</t>
  </si>
  <si>
    <t xml:space="preserve">Итого к выплате:</t>
  </si>
  <si>
    <t xml:space="preserve">Заявки</t>
  </si>
  <si>
    <t xml:space="preserve">Кол-во заявок</t>
  </si>
  <si>
    <t xml:space="preserve">План</t>
  </si>
  <si>
    <r>
      <rPr>
        <i val="true"/>
        <sz val="14"/>
        <color rgb="FF000000"/>
        <rFont val="Calibri"/>
        <family val="2"/>
        <charset val="1"/>
      </rPr>
      <t xml:space="preserve">Командный план по допам на Ноябрь </t>
    </r>
    <r>
      <rPr>
        <b val="true"/>
        <i val="true"/>
        <sz val="14"/>
        <color rgb="FF000000"/>
        <rFont val="Calibri"/>
        <family val="2"/>
        <charset val="1"/>
      </rPr>
      <t xml:space="preserve">500 000 Р</t>
    </r>
  </si>
  <si>
    <t xml:space="preserve">Мы продали туров на</t>
  </si>
  <si>
    <t xml:space="preserve">План нарастающим итогом выполнен на</t>
  </si>
  <si>
    <t xml:space="preserve">Мы продали допов на</t>
  </si>
  <si>
    <t xml:space="preserve">Продай туров еще на</t>
  </si>
  <si>
    <t xml:space="preserve">Продай допов еще на</t>
  </si>
  <si>
    <t xml:space="preserve">и получить комиссию </t>
  </si>
  <si>
    <t xml:space="preserve">Продано туров на</t>
  </si>
  <si>
    <t xml:space="preserve">Продано допов на</t>
  </si>
  <si>
    <t xml:space="preserve">Эффективность менеджера</t>
  </si>
  <si>
    <t xml:space="preserve">Прогресс выполнения плана по менеджерам</t>
  </si>
  <si>
    <t xml:space="preserve">Рабочие дни менеджера:</t>
  </si>
  <si>
    <t xml:space="preserve">Итого:</t>
  </si>
  <si>
    <t xml:space="preserve">Прибыль по турам</t>
  </si>
  <si>
    <t xml:space="preserve">Прибыль по допам</t>
  </si>
  <si>
    <t xml:space="preserve">План продаж на</t>
  </si>
  <si>
    <t xml:space="preserve">по турам:</t>
  </si>
  <si>
    <t xml:space="preserve">План продаж по дополнительным услугам:</t>
  </si>
  <si>
    <t xml:space="preserve">Карма</t>
  </si>
  <si>
    <t xml:space="preserve">Менеджер1</t>
  </si>
  <si>
    <t xml:space="preserve">Продажи туров</t>
  </si>
  <si>
    <t xml:space="preserve">порог</t>
  </si>
  <si>
    <t xml:space="preserve">I</t>
  </si>
  <si>
    <t xml:space="preserve">II</t>
  </si>
  <si>
    <t xml:space="preserve">III</t>
  </si>
  <si>
    <t xml:space="preserve">Цель+</t>
  </si>
  <si>
    <t xml:space="preserve">Цель++</t>
  </si>
  <si>
    <t xml:space="preserve">МегаЦель</t>
  </si>
  <si>
    <t xml:space="preserve">Процент</t>
  </si>
  <si>
    <t xml:space="preserve">К-во</t>
  </si>
  <si>
    <t xml:space="preserve">Вклад менеджера</t>
  </si>
  <si>
    <t xml:space="preserve">цель</t>
  </si>
  <si>
    <t xml:space="preserve">прогр. %</t>
  </si>
  <si>
    <t xml:space="preserve">Продажи допов</t>
  </si>
  <si>
    <t xml:space="preserve">Индивидуальные задания:</t>
  </si>
  <si>
    <t xml:space="preserve">бонус</t>
  </si>
  <si>
    <t xml:space="preserve">Базовый оклад:</t>
  </si>
  <si>
    <t xml:space="preserve">Итого карма:</t>
  </si>
  <si>
    <t xml:space="preserve">Менеджер2</t>
  </si>
  <si>
    <t xml:space="preserve">Легенда</t>
  </si>
  <si>
    <t xml:space="preserve">Типы заявок</t>
  </si>
  <si>
    <t xml:space="preserve">Вес</t>
  </si>
  <si>
    <t xml:space="preserve">Порог плана по турам</t>
  </si>
  <si>
    <t xml:space="preserve">Бонус менеджера</t>
  </si>
  <si>
    <t xml:space="preserve">Порог плана по допам</t>
  </si>
  <si>
    <t xml:space="preserve">Штраф</t>
  </si>
  <si>
    <t xml:space="preserve">Соцсети</t>
  </si>
  <si>
    <t xml:space="preserve">Опоздал на работу</t>
  </si>
  <si>
    <t xml:space="preserve">Нашел ошибку или внес конструктивную идею по доработке сайта</t>
  </si>
  <si>
    <t xml:space="preserve">Сайт (директ)</t>
  </si>
  <si>
    <t xml:space="preserve">Опоздал на работу не предупредив об этом по телефону</t>
  </si>
  <si>
    <t xml:space="preserve">Добавил новую информацию на сайт или обновил существующую</t>
  </si>
  <si>
    <t xml:space="preserve">Сайт (SEO)</t>
  </si>
  <si>
    <t xml:space="preserve">Негативный отзыв клиента о работе менеджера</t>
  </si>
  <si>
    <t xml:space="preserve">Взял отзыв у клиента или рекомендацию у клиента</t>
  </si>
  <si>
    <t xml:space="preserve">Instagram</t>
  </si>
  <si>
    <t xml:space="preserve">Допущенна ошибка в договоре с туристом</t>
  </si>
  <si>
    <t xml:space="preserve">Выход на работу в выходной или праздничный день</t>
  </si>
  <si>
    <t xml:space="preserve">Зашли с улицы</t>
  </si>
  <si>
    <t xml:space="preserve">Не внесена информация о взаимодействии с клиентом в CRM</t>
  </si>
  <si>
    <t xml:space="preserve">Заполнение полной информации об отеле в таблице отелей</t>
  </si>
  <si>
    <t xml:space="preserve">По рекомендации</t>
  </si>
  <si>
    <t xml:space="preserve">Не знание рекламных акций турагентства</t>
  </si>
  <si>
    <t xml:space="preserve">Подготовил презентацию или доклад по направлению</t>
  </si>
  <si>
    <t xml:space="preserve">Постоянные клиенты</t>
  </si>
  <si>
    <t xml:space="preserve">В CRM указан не корректный источник рекламы</t>
  </si>
  <si>
    <t xml:space="preserve">Подготовил выпуск рассылки</t>
  </si>
  <si>
    <t xml:space="preserve">Системные</t>
  </si>
  <si>
    <t xml:space="preserve">Месяц</t>
  </si>
  <si>
    <t xml:space="preserve">Календарные дни</t>
  </si>
  <si>
    <t xml:space="preserve">Первое число месяца</t>
  </si>
  <si>
    <t xml:space="preserve">Средний чек:</t>
  </si>
  <si>
    <t xml:space="preserve">Январь</t>
  </si>
  <si>
    <t xml:space="preserve">Используется в расчете плана по заявкам</t>
  </si>
  <si>
    <t xml:space="preserve">Февраль</t>
  </si>
  <si>
    <t xml:space="preserve">Март</t>
  </si>
  <si>
    <t xml:space="preserve">Планируемый год</t>
  </si>
  <si>
    <t xml:space="preserve">Апрель</t>
  </si>
  <si>
    <t xml:space="preserve">Май</t>
  </si>
  <si>
    <t xml:space="preserve">Июнь</t>
  </si>
  <si>
    <t xml:space="preserve">Июль</t>
  </si>
  <si>
    <t xml:space="preserve">Август</t>
  </si>
  <si>
    <t xml:space="preserve">Сентябрь</t>
  </si>
  <si>
    <t xml:space="preserve">Октябрь</t>
  </si>
  <si>
    <t xml:space="preserve">Ноябрь</t>
  </si>
  <si>
    <t xml:space="preserve">Декабрь</t>
  </si>
  <si>
    <t xml:space="preserve">Января</t>
  </si>
  <si>
    <t xml:space="preserve">Февраля</t>
  </si>
  <si>
    <t xml:space="preserve">Марта</t>
  </si>
  <si>
    <t xml:space="preserve">Апреля</t>
  </si>
  <si>
    <t xml:space="preserve">Мая</t>
  </si>
  <si>
    <t xml:space="preserve">Июня</t>
  </si>
  <si>
    <t xml:space="preserve">Июля</t>
  </si>
  <si>
    <t xml:space="preserve">Августа</t>
  </si>
  <si>
    <t xml:space="preserve">Сентября</t>
  </si>
  <si>
    <t xml:space="preserve">Октября</t>
  </si>
  <si>
    <t xml:space="preserve">Ноября</t>
  </si>
  <si>
    <t xml:space="preserve">Декабря</t>
  </si>
  <si>
    <t xml:space="preserve">Факт/План</t>
  </si>
  <si>
    <t xml:space="preserve">Сверхплан</t>
  </si>
  <si>
    <t xml:space="preserve">Факт туры</t>
  </si>
  <si>
    <t xml:space="preserve">Факт допы</t>
  </si>
  <si>
    <t xml:space="preserve">ФАКТЕРИЗАЦИЯ</t>
  </si>
  <si>
    <t xml:space="preserve">ВСЕГО</t>
  </si>
  <si>
    <t xml:space="preserve">Прибыль по турам план</t>
  </si>
  <si>
    <t xml:space="preserve">Нарастающий итог</t>
  </si>
  <si>
    <t xml:space="preserve">Нарастающий итог - 25%</t>
  </si>
  <si>
    <t xml:space="preserve">Нарастающий итог +25%</t>
  </si>
  <si>
    <t xml:space="preserve">Прибыль по допам план</t>
  </si>
  <si>
    <t xml:space="preserve">dops</t>
  </si>
  <si>
    <t xml:space="preserve">orders</t>
  </si>
  <si>
    <t xml:space="preserve">Заявки всего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</si>
</sst>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;;;"/>
    <numFmt numFmtId="166" formatCode="General"/>
    <numFmt numFmtId="167" formatCode="#,##0&quot; ₽&quot;;\-#,##0&quot; ₽&quot;;\ 0\₽"/>
    <numFmt numFmtId="168" formatCode="0%"/>
    <numFmt numFmtId="169" formatCode=";;;"/>
    <numFmt numFmtId="170" formatCode="0.00"/>
    <numFmt numFmtId="171" formatCode="0"/>
    <numFmt numFmtId="172" formatCode="General;;;"/>
    <numFmt numFmtId="173" formatCode="#,##0&quot; ₽&quot;;;;"/>
    <numFmt numFmtId="174" formatCode="#,##0"/>
    <numFmt numFmtId="175" formatCode="#,##0;;;"/>
    <numFmt numFmtId="176" formatCode="#,##0&quot; ₽&quot;;;;"/>
    <numFmt numFmtId="177" formatCode="#,##0\ [$₽-419]"/>
    <numFmt numFmtId="178" formatCode="0.0%"/>
    <numFmt numFmtId="179" formatCode="[$-419]DD/MM/YYYY"/>
    <numFmt numFmtId="180" formatCode="#,##0.00"/>
  </numFmts>
  <fonts count="65">
    <font>
      <sz val="12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8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24"/>
      <color rgb="FF404040"/>
      <name val="Calibri"/>
      <family val="2"/>
      <charset val="1"/>
    </font>
    <font>
      <b val="true"/>
      <sz val="48"/>
      <color rgb="FF404040"/>
      <name val="Calibri"/>
      <family val="2"/>
      <charset val="1"/>
    </font>
    <font>
      <sz val="24"/>
      <color rgb="FF000000"/>
      <name val="Calibri"/>
      <family val="2"/>
      <charset val="1"/>
    </font>
    <font>
      <b val="true"/>
      <sz val="18"/>
      <color rgb="FF404040"/>
      <name val="Calibri"/>
      <family val="2"/>
      <charset val="1"/>
    </font>
    <font>
      <b val="true"/>
      <sz val="26"/>
      <color rgb="FF404040"/>
      <name val="Calibri"/>
      <family val="2"/>
      <charset val="1"/>
    </font>
    <font>
      <sz val="18"/>
      <color rgb="FF000000"/>
      <name val="Calibri"/>
      <family val="2"/>
      <charset val="1"/>
    </font>
    <font>
      <i val="true"/>
      <sz val="14"/>
      <color rgb="FF000000"/>
      <name val="Calibri"/>
      <family val="2"/>
      <charset val="204"/>
    </font>
    <font>
      <i val="true"/>
      <sz val="16"/>
      <color rgb="FF000000"/>
      <name val="Calibri"/>
      <family val="2"/>
      <charset val="204"/>
    </font>
    <font>
      <i val="true"/>
      <sz val="18"/>
      <color rgb="FF000000"/>
      <name val="Calibri"/>
      <family val="2"/>
      <charset val="204"/>
    </font>
    <font>
      <i val="true"/>
      <sz val="14"/>
      <color rgb="FF00B050"/>
      <name val="Calibri"/>
      <family val="2"/>
      <charset val="204"/>
    </font>
    <font>
      <i val="true"/>
      <sz val="18"/>
      <color rgb="FF000000"/>
      <name val="Calibri"/>
      <family val="2"/>
      <charset val="1"/>
    </font>
    <font>
      <i val="true"/>
      <sz val="14"/>
      <name val="Calibri"/>
      <family val="2"/>
      <charset val="204"/>
    </font>
    <font>
      <i val="true"/>
      <sz val="16"/>
      <color rgb="FF000000"/>
      <name val="Calibri"/>
      <family val="2"/>
      <charset val="1"/>
    </font>
    <font>
      <b val="true"/>
      <i val="true"/>
      <sz val="18"/>
      <color rgb="FF000000"/>
      <name val="Calibri"/>
      <family val="2"/>
      <charset val="1"/>
    </font>
    <font>
      <b val="true"/>
      <i val="true"/>
      <sz val="16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1"/>
    </font>
    <font>
      <sz val="12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8"/>
      <color rgb="FF00B050"/>
      <name val="Calibri"/>
      <family val="2"/>
      <charset val="204"/>
    </font>
    <font>
      <sz val="10"/>
      <color rgb="FF000000"/>
      <name val="Calibri"/>
      <family val="2"/>
    </font>
    <font>
      <sz val="9"/>
      <color rgb="FF595959"/>
      <name val="Calibri"/>
      <family val="2"/>
    </font>
    <font>
      <sz val="12"/>
      <color rgb="FFA6A6A6"/>
      <name val="Calibri"/>
      <family val="2"/>
      <charset val="1"/>
    </font>
    <font>
      <b val="true"/>
      <sz val="16"/>
      <color rgb="FF000000"/>
      <name val="Calibri"/>
      <family val="2"/>
      <charset val="204"/>
    </font>
    <font>
      <b val="true"/>
      <sz val="36"/>
      <color rgb="FF404040"/>
      <name val="Calibri"/>
      <family val="2"/>
      <charset val="1"/>
    </font>
    <font>
      <sz val="11"/>
      <color rgb="FF000000"/>
      <name val="Calibri"/>
      <family val="2"/>
      <charset val="1"/>
    </font>
    <font>
      <i val="true"/>
      <sz val="14"/>
      <color rgb="FF000000"/>
      <name val="Calibri"/>
      <family val="2"/>
      <charset val="1"/>
    </font>
    <font>
      <b val="true"/>
      <i val="true"/>
      <sz val="14"/>
      <color rgb="FF000000"/>
      <name val="Calibri"/>
      <family val="2"/>
      <charset val="204"/>
    </font>
    <font>
      <i val="true"/>
      <sz val="12"/>
      <color rgb="FF000000"/>
      <name val="Calibri"/>
      <family val="2"/>
      <charset val="1"/>
    </font>
    <font>
      <b val="true"/>
      <i val="true"/>
      <sz val="14"/>
      <color rgb="FF000000"/>
      <name val="Calibri"/>
      <family val="2"/>
      <charset val="1"/>
    </font>
    <font>
      <i val="true"/>
      <sz val="12"/>
      <name val="Calibri"/>
      <family val="2"/>
      <charset val="1"/>
    </font>
    <font>
      <i val="true"/>
      <sz val="14"/>
      <name val="Calibri"/>
      <family val="2"/>
      <charset val="1"/>
    </font>
    <font>
      <b val="true"/>
      <i val="true"/>
      <sz val="14"/>
      <color rgb="FFFF0000"/>
      <name val="Calibri"/>
      <family val="2"/>
      <charset val="204"/>
    </font>
    <font>
      <i val="true"/>
      <sz val="14"/>
      <color rgb="FFC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i val="true"/>
      <sz val="12"/>
      <color rgb="FFFF0000"/>
      <name val="Calibri"/>
      <family val="2"/>
      <charset val="204"/>
    </font>
    <font>
      <i val="true"/>
      <sz val="14"/>
      <color rgb="FFFF0000"/>
      <name val="Calibri"/>
      <family val="2"/>
      <charset val="1"/>
    </font>
    <font>
      <sz val="12"/>
      <color rgb="FFC00000"/>
      <name val="Calibri"/>
      <family val="2"/>
      <charset val="1"/>
    </font>
    <font>
      <sz val="12"/>
      <color rgb="FFFF0000"/>
      <name val="Calibri"/>
      <family val="2"/>
      <charset val="1"/>
    </font>
    <font>
      <b val="true"/>
      <i val="true"/>
      <sz val="16"/>
      <color rgb="FF000000"/>
      <name val="Calibri"/>
      <family val="2"/>
      <charset val="1"/>
    </font>
    <font>
      <i val="true"/>
      <sz val="13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i val="true"/>
      <sz val="16"/>
      <name val="Calibri"/>
      <family val="2"/>
      <charset val="1"/>
    </font>
    <font>
      <b val="true"/>
      <sz val="16"/>
      <name val="Calibri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b val="true"/>
      <sz val="12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b val="true"/>
      <sz val="16"/>
      <color rgb="FF000000"/>
      <name val="Calibri"/>
      <family val="2"/>
      <charset val="1"/>
    </font>
    <font>
      <b val="true"/>
      <sz val="14"/>
      <name val="Calibri"/>
      <family val="2"/>
      <charset val="204"/>
    </font>
    <font>
      <b val="true"/>
      <i val="true"/>
      <sz val="12"/>
      <color rgb="FF000000"/>
      <name val="Calibri"/>
      <family val="2"/>
      <charset val="204"/>
    </font>
    <font>
      <i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b val="true"/>
      <i val="true"/>
      <sz val="12"/>
      <color rgb="FF000000"/>
      <name val="Calibri"/>
      <family val="2"/>
      <charset val="1"/>
    </font>
    <font>
      <i val="true"/>
      <sz val="11"/>
      <color rgb="FF000000"/>
      <name val="Calibri"/>
      <family val="2"/>
      <charset val="204"/>
    </font>
    <font>
      <sz val="12"/>
      <color rgb="FFFFFFFF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E7E6E6"/>
      </patternFill>
    </fill>
    <fill>
      <patternFill patternType="solid">
        <fgColor rgb="FFF2F2F2"/>
        <bgColor rgb="FFE7E6E6"/>
      </patternFill>
    </fill>
    <fill>
      <patternFill patternType="solid">
        <fgColor rgb="FFE2F0D9"/>
        <bgColor rgb="FFE7E6E6"/>
      </patternFill>
    </fill>
    <fill>
      <patternFill patternType="solid">
        <fgColor rgb="FFE7E6E6"/>
        <bgColor rgb="FFE2F0D9"/>
      </patternFill>
    </fill>
    <fill>
      <patternFill patternType="solid">
        <fgColor rgb="FFFFCCCC"/>
        <bgColor rgb="FFFFC7CE"/>
      </patternFill>
    </fill>
    <fill>
      <patternFill patternType="solid">
        <fgColor rgb="FFFFF2CC"/>
        <bgColor rgb="FFFFFFCC"/>
      </patternFill>
    </fill>
    <fill>
      <patternFill patternType="solid">
        <fgColor rgb="FFC5E0B4"/>
        <bgColor rgb="FFD9D9D9"/>
      </patternFill>
    </fill>
    <fill>
      <patternFill patternType="solid">
        <fgColor rgb="FFA9D18E"/>
        <bgColor rgb="FFC5E0B4"/>
      </patternFill>
    </fill>
    <fill>
      <patternFill patternType="solid">
        <fgColor rgb="FFBFBFBF"/>
        <bgColor rgb="FFB2B2B2"/>
      </patternFill>
    </fill>
  </fills>
  <borders count="5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2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7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7" fontId="10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5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9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3" fillId="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3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5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5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6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3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6" fillId="7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3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3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3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7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2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2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3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27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3" fillId="0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72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7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1" fillId="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2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8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2" fillId="8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3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0" fillId="5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0" fillId="5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4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35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36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3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8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9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40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41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2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3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4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4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7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8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35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19" fillId="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47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9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4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0" fillId="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1" fillId="4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5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5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5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4" fillId="5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3" fillId="4" borderId="24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6" fontId="55" fillId="5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52" fillId="1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5" fillId="5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52" fillId="1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5" fillId="5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52" fillId="1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5" fillId="5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56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5" fillId="5" borderId="3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56" fillId="5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5" borderId="3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22" fillId="7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5" borderId="1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77" fontId="57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5" borderId="2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22" fillId="3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6" fontId="31" fillId="4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4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8" fillId="7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24" fillId="3" borderId="3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24" fillId="3" borderId="34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0" fillId="3" borderId="3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3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9" fillId="5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9" fillId="3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5" borderId="36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1" fillId="5" borderId="3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4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4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2" fillId="4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4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0" fillId="4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0" fillId="4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0" fillId="4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0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0" fillId="4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5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8" fontId="0" fillId="7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1" fillId="5" borderId="3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33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6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3" fillId="6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6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6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1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4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1" fillId="5" borderId="4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33" fillId="7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7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3" fillId="7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6" borderId="4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5" borderId="4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3" fillId="5" borderId="9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1" fillId="5" borderId="2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31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1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1" fillId="5" borderId="2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7" fontId="0" fillId="0" borderId="31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0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0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2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0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0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0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32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6" fontId="0" fillId="0" borderId="4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4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3" fillId="5" borderId="15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1" fillId="5" borderId="18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7" fontId="0" fillId="0" borderId="46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6" fontId="0" fillId="0" borderId="4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5" borderId="2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7" fontId="5" fillId="5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5" borderId="25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7" fontId="5" fillId="11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4" fillId="5" borderId="5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7" fontId="5" fillId="1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3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7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1" fillId="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1" fillId="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1" fillId="5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1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1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2" fillId="1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1" shrinkToFit="false"/>
      <protection locked="true" hidden="false"/>
    </xf>
    <xf numFmtId="164" fontId="59" fillId="12" borderId="2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5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8" fontId="0" fillId="5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5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5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2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8" fontId="24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7" fontId="0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74" fontId="0" fillId="5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0" fillId="5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0" fillId="2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0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79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0" fillId="5" borderId="3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80" fontId="0" fillId="0" borderId="5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80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2" fillId="5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5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4" borderId="24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5" fillId="5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56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52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te" xfId="20"/>
  </cellStyles>
  <dxfs count="151"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A9D18E"/>
        </patternFill>
      </fill>
    </dxf>
    <dxf>
      <fill>
        <patternFill>
          <bgColor rgb="FFFFF2CC"/>
        </patternFill>
      </fill>
    </dxf>
    <dxf>
      <fill>
        <patternFill>
          <bgColor rgb="FFA9D18E"/>
        </patternFill>
      </fill>
    </dxf>
    <dxf>
      <fill>
        <patternFill>
          <bgColor rgb="FFFFF2CC"/>
        </patternFill>
      </fill>
    </dxf>
    <dxf>
      <fill>
        <patternFill>
          <bgColor rgb="FFA9D18E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A9D18E"/>
        </patternFill>
      </fill>
    </dxf>
    <dxf>
      <fill>
        <patternFill>
          <bgColor rgb="FFFFF2CC"/>
        </patternFill>
      </fill>
    </dxf>
    <dxf>
      <fill>
        <patternFill>
          <bgColor rgb="FFA9D18E"/>
        </patternFill>
      </fill>
    </dxf>
    <dxf>
      <fill>
        <patternFill>
          <bgColor rgb="FFFFF2CC"/>
        </patternFill>
      </fill>
    </dxf>
    <dxf>
      <fill>
        <patternFill>
          <bgColor rgb="FFA9D18E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A9D18E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A9D18E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A9D18E"/>
        </patternFill>
      </fill>
    </dxf>
    <dxf>
      <fill>
        <patternFill>
          <bgColor rgb="FFFFF2CC"/>
        </patternFill>
      </fill>
    </dxf>
    <dxf>
      <fill>
        <patternFill>
          <bgColor rgb="FFA9D18E"/>
        </patternFill>
      </fill>
    </dxf>
    <dxf>
      <fill>
        <patternFill>
          <bgColor rgb="FFFFF2CC"/>
        </patternFill>
      </fill>
    </dxf>
    <dxf>
      <fill>
        <patternFill>
          <bgColor rgb="FFA9D18E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A9D18E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F2CC"/>
        </patternFill>
      </fill>
    </dxf>
    <dxf>
      <fill>
        <patternFill>
          <bgColor rgb="FFA9D18E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A9D18E"/>
        </patternFill>
      </fill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A9D18E"/>
        </patternFill>
      </fill>
    </dxf>
    <dxf>
      <fill>
        <patternFill>
          <bgColor rgb="FFFFF2CC"/>
        </patternFill>
      </fill>
    </dxf>
    <dxf>
      <fill>
        <patternFill>
          <bgColor rgb="FFA9D18E"/>
        </patternFill>
      </fill>
    </dxf>
    <dxf>
      <fill>
        <patternFill>
          <bgColor rgb="FFFFF2CC"/>
        </patternFill>
      </fill>
    </dxf>
    <dxf>
      <fill>
        <patternFill>
          <bgColor rgb="FFA9D18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CCCC"/>
        </patternFill>
      </fill>
    </dxf>
    <dxf>
      <fill>
        <patternFill>
          <bgColor rgb="FFFFF2CC"/>
        </patternFill>
      </fill>
    </dxf>
    <dxf>
      <fill>
        <patternFill>
          <bgColor rgb="FFA9D18E"/>
        </patternFill>
      </fill>
    </dxf>
    <dxf>
      <fill>
        <patternFill>
          <bgColor rgb="FFFFF2CC"/>
        </patternFill>
      </fill>
    </dxf>
    <dxf>
      <fill>
        <patternFill>
          <bgColor rgb="FFA9D18E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9999"/>
        </patternFill>
      </fill>
    </dxf>
    <dxf>
      <fill>
        <patternFill>
          <bgColor rgb="FFC5E0B4"/>
        </patternFill>
      </fill>
    </dxf>
    <dxf>
      <fill>
        <patternFill>
          <bgColor rgb="FFFF9999"/>
        </patternFill>
      </fill>
    </dxf>
    <dxf>
      <fill>
        <patternFill>
          <bgColor rgb="FFC5E0B4"/>
        </patternFill>
      </fill>
    </dxf>
    <dxf>
      <font>
        <b val="1"/>
        <i val="0"/>
        <color rgb="FFFF0000"/>
      </font>
    </dxf>
    <dxf>
      <fill>
        <patternFill>
          <bgColor rgb="FFFFE699"/>
        </patternFill>
      </fill>
    </dxf>
    <dxf>
      <fill>
        <patternFill>
          <bgColor rgb="FFFFE699"/>
        </patternFill>
      </fill>
    </dxf>
    <dxf>
      <fill>
        <patternFill>
          <bgColor rgb="FFFFE699"/>
        </patternFill>
      </fill>
    </dxf>
    <dxf>
      <fill>
        <patternFill>
          <bgColor rgb="FFFFE699"/>
        </patternFill>
      </fill>
    </dxf>
    <dxf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2CC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B8B8B"/>
      <rgbColor rgb="FFB2B2B2"/>
      <rgbColor rgb="FF993366"/>
      <rgbColor rgb="FFFFFFCC"/>
      <rgbColor rgb="FFF2F2F2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E7E6E6"/>
      <rgbColor rgb="FFE2F0D9"/>
      <rgbColor rgb="FFFFE699"/>
      <rgbColor rgb="FFC5E0B4"/>
      <rgbColor rgb="FFFF9999"/>
      <rgbColor rgb="FFFFC7CE"/>
      <rgbColor rgb="FFFFCCCC"/>
      <rgbColor rgb="FF3366FF"/>
      <rgbColor rgb="FF5B9BD5"/>
      <rgbColor rgb="FFA9D18E"/>
      <rgbColor rgb="FFD9D9D9"/>
      <rgbColor rgb="FFFF9900"/>
      <rgbColor rgb="FFFF6600"/>
      <rgbColor rgb="FF59595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stacked"/>
        <c:varyColors val="0"/>
        <c:ser>
          <c:idx val="0"/>
          <c:order val="0"/>
          <c:tx>
            <c:strRef>
              <c:f>Служебный!$A$4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5e0b4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Служебный!$B$4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Служебный!$A$5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ffcccc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Служебный!$B$5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Служебный!$A$6</c:f>
              <c:strCache>
                <c:ptCount val="1"/>
                <c:pt idx="0">
                  <c:v>Сверхплан</c:v>
                </c:pt>
              </c:strCache>
            </c:strRef>
          </c:tx>
          <c:spPr>
            <a:solidFill>
              <a:srgbClr val="e7e6e6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Служебный!$B$6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gapWidth val="150"/>
        <c:overlap val="100"/>
        <c:axId val="49766121"/>
        <c:axId val="26057961"/>
      </c:barChart>
      <c:catAx>
        <c:axId val="4976612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6057961"/>
        <c:crosses val="autoZero"/>
        <c:auto val="1"/>
        <c:lblAlgn val="ctr"/>
        <c:lblOffset val="100"/>
      </c:catAx>
      <c:valAx>
        <c:axId val="26057961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#,##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9766121"/>
        <c:crosses val="autoZero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stacked"/>
        <c:varyColors val="0"/>
        <c:ser>
          <c:idx val="0"/>
          <c:order val="0"/>
          <c:tx>
            <c:strRef>
              <c:f>Служебный!$G$4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5e0b4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Служебный!$H$4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Служебный!$G$5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ffcccc"/>
            </a:solidFill>
            <a:ln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spPr>
              <a:solidFill>
                <a:srgbClr val="ffcccc"/>
              </a:solidFill>
              <a:ln>
                <a:solidFill>
                  <a:srgbClr val="000000"/>
                </a:solidFill>
              </a:ln>
            </c:spPr>
          </c:dPt>
          <c:dLbls>
            <c:numFmt formatCode="#,##0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eparator>; </c:separator>
            </c:dLbl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Служебный!$H$5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Служебный!$G$6</c:f>
              <c:strCache>
                <c:ptCount val="1"/>
                <c:pt idx="0">
                  <c:v>Сверхплан</c:v>
                </c:pt>
              </c:strCache>
            </c:strRef>
          </c:tx>
          <c:spPr>
            <a:solidFill>
              <a:srgbClr val="e7e6e6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Служебный!$H$6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gapWidth val="150"/>
        <c:overlap val="100"/>
        <c:axId val="167516"/>
        <c:axId val="61802806"/>
      </c:barChart>
      <c:catAx>
        <c:axId val="1675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1802806"/>
        <c:crosses val="autoZero"/>
        <c:auto val="1"/>
        <c:lblAlgn val="ctr"/>
        <c:lblOffset val="100"/>
      </c:catAx>
      <c:valAx>
        <c:axId val="6180280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#,##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167516"/>
        <c:crosses val="autoZero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"План"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5b9bd5"/>
            </a:solidFill>
            <a:ln w="2844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Служебный!$C$11:$AG$11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Служебный!$C$14:$AG$14</c:f>
              <c:numCache>
                <c:formatCode>General</c:formatCode>
                <c:ptCount val="31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</c:numCache>
            </c:numRef>
          </c:val>
          <c:smooth val="0"/>
        </c:ser>
        <c:ser>
          <c:idx val="1"/>
          <c:order val="1"/>
          <c:tx>
            <c:strRef>
              <c:f>"Факт"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ff0000"/>
            </a:solidFill>
            <a:ln w="2844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Служебный!$C$11:$AG$11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Служебный!$C$18:$AG$18</c:f>
              <c:numCache>
                <c:formatCode>General</c:formatCode>
                <c:ptCount val="31"/>
                <c:pt idx="0">
                  <c:v>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4808332"/>
        <c:axId val="47128244"/>
      </c:lineChart>
      <c:catAx>
        <c:axId val="48083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7128244"/>
        <c:crosses val="autoZero"/>
        <c:auto val="1"/>
        <c:lblAlgn val="ctr"/>
        <c:lblOffset val="100"/>
      </c:catAx>
      <c:valAx>
        <c:axId val="4712824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#,##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808332"/>
        <c:crosses val="autoZero"/>
        <c:crossBetween val="midCat"/>
      </c:valAx>
      <c:spPr>
        <a:noFill/>
        <a:ln>
          <a:noFill/>
        </a:ln>
      </c:spPr>
    </c:plotArea>
    <c:plotVisOnly val="1"/>
    <c:dispBlanksAs val="span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"План"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5b9bd5"/>
            </a:solidFill>
            <a:ln w="2844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Служебный!$C$11:$AG$11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Служебный!$C$20:$AG$20</c:f>
              <c:numCache>
                <c:formatCode>General</c:formatCode>
                <c:ptCount val="31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</c:numCache>
            </c:numRef>
          </c:val>
          <c:smooth val="0"/>
        </c:ser>
        <c:ser>
          <c:idx val="1"/>
          <c:order val="1"/>
          <c:tx>
            <c:strRef>
              <c:f>"Факт"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ff0000"/>
            </a:solidFill>
            <a:ln w="2844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Служебный!$C$11:$AG$11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Служебный!$C$24:$AG$24</c:f>
              <c:numCache>
                <c:formatCode>General</c:formatCode>
                <c:ptCount val="31"/>
                <c:pt idx="0">
                  <c:v>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35840654"/>
        <c:axId val="12245241"/>
      </c:lineChart>
      <c:catAx>
        <c:axId val="3584065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12245241"/>
        <c:crosses val="autoZero"/>
        <c:auto val="1"/>
        <c:lblAlgn val="ctr"/>
        <c:lblOffset val="100"/>
      </c:catAx>
      <c:valAx>
        <c:axId val="12245241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#,##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5840654"/>
        <c:crosses val="autoZero"/>
        <c:crossBetween val="midCat"/>
      </c:valAx>
      <c:spPr>
        <a:noFill/>
        <a:ln>
          <a:noFill/>
        </a:ln>
      </c:spPr>
    </c:plotArea>
    <c:plotVisOnly val="1"/>
    <c:dispBlanksAs val="span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stacked"/>
        <c:varyColors val="0"/>
        <c:ser>
          <c:idx val="0"/>
          <c:order val="0"/>
          <c:tx>
            <c:strRef>
              <c:f>Служебный!$A$4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5e0b4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Служебный!$B$4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Служебный!$A$5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ffcccc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Служебный!$B$5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Служебный!$A$6</c:f>
              <c:strCache>
                <c:ptCount val="1"/>
                <c:pt idx="0">
                  <c:v>Сверхплан</c:v>
                </c:pt>
              </c:strCache>
            </c:strRef>
          </c:tx>
          <c:spPr>
            <a:solidFill>
              <a:srgbClr val="e7e6e6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Служебный!$B$6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gapWidth val="150"/>
        <c:overlap val="100"/>
        <c:axId val="28824994"/>
        <c:axId val="71410140"/>
      </c:barChart>
      <c:catAx>
        <c:axId val="2882499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1410140"/>
        <c:crosses val="autoZero"/>
        <c:auto val="1"/>
        <c:lblAlgn val="ctr"/>
        <c:lblOffset val="100"/>
      </c:catAx>
      <c:valAx>
        <c:axId val="71410140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#,##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8824994"/>
        <c:crosses val="autoZero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"План"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5b9bd5"/>
            </a:solidFill>
            <a:ln w="2844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Служебный!$C$11:$AG$11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Служебный!$C$14:$AG$14</c:f>
              <c:numCache>
                <c:formatCode>General</c:formatCode>
                <c:ptCount val="31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</c:numCache>
            </c:numRef>
          </c:val>
          <c:smooth val="0"/>
        </c:ser>
        <c:ser>
          <c:idx val="1"/>
          <c:order val="1"/>
          <c:tx>
            <c:strRef>
              <c:f>"План + 25%"</c:f>
              <c:strCache>
                <c:ptCount val="1"/>
                <c:pt idx="0">
                  <c:v>План + 25%</c:v>
                </c:pt>
              </c:strCache>
            </c:strRef>
          </c:tx>
          <c:spPr>
            <a:solidFill>
              <a:srgbClr val="bdd7ee"/>
            </a:solidFill>
            <a:ln cap="rnd" w="28440">
              <a:solidFill>
                <a:srgbClr val="bdd7ee"/>
              </a:solidFill>
              <a:prstDash val="dash"/>
              <a:round/>
            </a:ln>
          </c:spPr>
          <c:marker>
            <c:symbol val="none"/>
          </c:marker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Служебный!$C$11:$AG$11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Служебный!$C$16:$AG$16</c:f>
              <c:numCache>
                <c:formatCode>General</c:formatCode>
                <c:ptCount val="31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</c:numCache>
            </c:numRef>
          </c:val>
          <c:smooth val="0"/>
        </c:ser>
        <c:ser>
          <c:idx val="2"/>
          <c:order val="2"/>
          <c:tx>
            <c:strRef>
              <c:f>"План - 25 %"</c:f>
              <c:strCache>
                <c:ptCount val="1"/>
                <c:pt idx="0">
                  <c:v>План - 25 %</c:v>
                </c:pt>
              </c:strCache>
            </c:strRef>
          </c:tx>
          <c:spPr>
            <a:solidFill>
              <a:srgbClr val="bdd7ee"/>
            </a:solidFill>
            <a:ln cap="rnd" w="28440">
              <a:solidFill>
                <a:srgbClr val="bdd7ee"/>
              </a:solidFill>
              <a:prstDash val="dash"/>
              <a:round/>
            </a:ln>
          </c:spPr>
          <c:marker>
            <c:symbol val="none"/>
          </c:marker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Служебный!$C$11:$AG$11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Служебный!$C$15:$AG$15</c:f>
              <c:numCache>
                <c:formatCode>General</c:formatCode>
                <c:ptCount val="31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</c:numCache>
            </c:numRef>
          </c:val>
          <c:smooth val="0"/>
        </c:ser>
        <c:ser>
          <c:idx val="3"/>
          <c:order val="3"/>
          <c:tx>
            <c:strRef>
              <c:f>"Факт"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ff0000"/>
            </a:solidFill>
            <a:ln w="2844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Служебный!$C$11:$AG$11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Служебный!$C$18:$AG$18</c:f>
              <c:numCache>
                <c:formatCode>General</c:formatCode>
                <c:ptCount val="31"/>
                <c:pt idx="0">
                  <c:v>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36985402"/>
        <c:axId val="77019336"/>
      </c:lineChart>
      <c:catAx>
        <c:axId val="3698540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7019336"/>
        <c:crosses val="autoZero"/>
        <c:auto val="1"/>
        <c:lblAlgn val="ctr"/>
        <c:lblOffset val="100"/>
      </c:catAx>
      <c:valAx>
        <c:axId val="7701933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#,##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6985402"/>
        <c:crosses val="autoZero"/>
        <c:crossBetween val="midCat"/>
      </c:valAx>
      <c:spPr>
        <a:noFill/>
        <a:ln>
          <a:noFill/>
        </a:ln>
      </c:spPr>
    </c:plotArea>
    <c:plotVisOnly val="1"/>
    <c:dispBlanksAs val="span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stacked"/>
        <c:varyColors val="0"/>
        <c:ser>
          <c:idx val="0"/>
          <c:order val="0"/>
          <c:tx>
            <c:strRef>
              <c:f>Служебный!$G$4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5e0b4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Служебный!$H$4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Служебный!$G$5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ffcccc"/>
            </a:solidFill>
            <a:ln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spPr>
              <a:solidFill>
                <a:srgbClr val="ffcccc"/>
              </a:solidFill>
              <a:ln>
                <a:solidFill>
                  <a:srgbClr val="000000"/>
                </a:solidFill>
              </a:ln>
            </c:spPr>
          </c:dPt>
          <c:dLbls>
            <c:numFmt formatCode="#,##0" sourceLinked="1"/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eparator>; </c:separator>
            </c:dLbl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Служебный!$H$5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Служебный!$G$6</c:f>
              <c:strCache>
                <c:ptCount val="1"/>
                <c:pt idx="0">
                  <c:v>Сверхплан</c:v>
                </c:pt>
              </c:strCache>
            </c:strRef>
          </c:tx>
          <c:spPr>
            <a:solidFill>
              <a:srgbClr val="e7e6e6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Служебный!$H$6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gapWidth val="150"/>
        <c:overlap val="100"/>
        <c:axId val="51606367"/>
        <c:axId val="92778237"/>
      </c:barChart>
      <c:catAx>
        <c:axId val="5160636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2778237"/>
        <c:crosses val="autoZero"/>
        <c:auto val="1"/>
        <c:lblAlgn val="ctr"/>
        <c:lblOffset val="100"/>
      </c:catAx>
      <c:valAx>
        <c:axId val="9277823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#,##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1606367"/>
        <c:crosses val="autoZero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257878416384221"/>
          <c:y val="0.0693124650642817"/>
          <c:w val="0.721569193048244"/>
          <c:h val="0.784423327743618"/>
        </c:manualLayout>
      </c:layout>
      <c:lineChart>
        <c:grouping val="standard"/>
        <c:varyColors val="0"/>
        <c:ser>
          <c:idx val="0"/>
          <c:order val="0"/>
          <c:tx>
            <c:strRef>
              <c:f>"План"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5b9bd5"/>
            </a:solidFill>
            <a:ln w="2844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Служебный!$C$11:$AG$11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Служебный!$C$20:$AG$20</c:f>
              <c:numCache>
                <c:formatCode>General</c:formatCode>
                <c:ptCount val="31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</c:numCache>
            </c:numRef>
          </c:val>
          <c:smooth val="0"/>
        </c:ser>
        <c:ser>
          <c:idx val="1"/>
          <c:order val="1"/>
          <c:tx>
            <c:strRef>
              <c:f>"План + 25%"</c:f>
              <c:strCache>
                <c:ptCount val="1"/>
                <c:pt idx="0">
                  <c:v>План + 25%</c:v>
                </c:pt>
              </c:strCache>
            </c:strRef>
          </c:tx>
          <c:spPr>
            <a:solidFill>
              <a:srgbClr val="bdd7ee"/>
            </a:solidFill>
            <a:ln cap="rnd" w="28440">
              <a:solidFill>
                <a:srgbClr val="bdd7ee"/>
              </a:solidFill>
              <a:prstDash val="dash"/>
              <a:round/>
            </a:ln>
          </c:spPr>
          <c:marker>
            <c:symbol val="none"/>
          </c:marker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Служебный!$C$11:$AG$11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Служебный!$C$22:$AG$22</c:f>
              <c:numCache>
                <c:formatCode>General</c:formatCode>
                <c:ptCount val="31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</c:numCache>
            </c:numRef>
          </c:val>
          <c:smooth val="0"/>
        </c:ser>
        <c:ser>
          <c:idx val="2"/>
          <c:order val="2"/>
          <c:tx>
            <c:strRef>
              <c:f>"План - 25 %"</c:f>
              <c:strCache>
                <c:ptCount val="1"/>
                <c:pt idx="0">
                  <c:v>План - 25 %</c:v>
                </c:pt>
              </c:strCache>
            </c:strRef>
          </c:tx>
          <c:spPr>
            <a:solidFill>
              <a:srgbClr val="bdd7ee"/>
            </a:solidFill>
            <a:ln cap="rnd" w="28440">
              <a:solidFill>
                <a:srgbClr val="bdd7ee"/>
              </a:solidFill>
              <a:prstDash val="dash"/>
              <a:round/>
            </a:ln>
          </c:spPr>
          <c:marker>
            <c:symbol val="none"/>
          </c:marker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Служебный!$C$11:$AG$11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Служебный!$C$21:$AG$21</c:f>
              <c:numCache>
                <c:formatCode>General</c:formatCode>
                <c:ptCount val="31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</c:numCache>
            </c:numRef>
          </c:val>
          <c:smooth val="0"/>
        </c:ser>
        <c:ser>
          <c:idx val="3"/>
          <c:order val="3"/>
          <c:tx>
            <c:strRef>
              <c:f>"Факт"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00000"/>
            </a:solidFill>
            <a:ln w="28440">
              <a:solidFill>
                <a:srgbClr val="c00000"/>
              </a:solidFill>
              <a:round/>
            </a:ln>
          </c:spPr>
          <c:marker>
            <c:symbol val="none"/>
          </c:marker>
          <c:dLbls>
            <c:numFmt formatCode="#,##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Служебный!$C$11:$AG$11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Служебный!$C$24:$AG$24</c:f>
              <c:numCache>
                <c:formatCode>General</c:formatCode>
                <c:ptCount val="31"/>
                <c:pt idx="0">
                  <c:v>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88724760"/>
        <c:axId val="42651650"/>
      </c:lineChart>
      <c:catAx>
        <c:axId val="88724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2651650"/>
        <c:crosses val="autoZero"/>
        <c:auto val="1"/>
        <c:lblAlgn val="ctr"/>
        <c:lblOffset val="100"/>
      </c:catAx>
      <c:valAx>
        <c:axId val="42651650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#,##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88724760"/>
        <c:crosses val="autoZero"/>
        <c:crossBetween val="midCat"/>
      </c:valAx>
      <c:spPr>
        <a:noFill/>
        <a:ln>
          <a:noFill/>
        </a:ln>
      </c:spPr>
    </c:plotArea>
    <c:plotVisOnly val="1"/>
    <c:dispBlanksAs val="span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41.xml"/><Relationship Id="rId2" Type="http://schemas.openxmlformats.org/officeDocument/2006/relationships/chart" Target="../charts/chart42.xml"/><Relationship Id="rId3" Type="http://schemas.openxmlformats.org/officeDocument/2006/relationships/chart" Target="../charts/chart43.xml"/><Relationship Id="rId4" Type="http://schemas.openxmlformats.org/officeDocument/2006/relationships/chart" Target="../charts/chart44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45.xml"/><Relationship Id="rId2" Type="http://schemas.openxmlformats.org/officeDocument/2006/relationships/chart" Target="../charts/chart46.xml"/><Relationship Id="rId3" Type="http://schemas.openxmlformats.org/officeDocument/2006/relationships/chart" Target="../charts/chart47.xml"/><Relationship Id="rId4" Type="http://schemas.openxmlformats.org/officeDocument/2006/relationships/chart" Target="../charts/chart48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13680</xdr:colOff>
      <xdr:row>6</xdr:row>
      <xdr:rowOff>181080</xdr:rowOff>
    </xdr:from>
    <xdr:to>
      <xdr:col>3</xdr:col>
      <xdr:colOff>1374120</xdr:colOff>
      <xdr:row>17</xdr:row>
      <xdr:rowOff>23400</xdr:rowOff>
    </xdr:to>
    <xdr:graphicFrame>
      <xdr:nvGraphicFramePr>
        <xdr:cNvPr id="0" name="Диаграмма 6"/>
        <xdr:cNvGraphicFramePr/>
      </xdr:nvGraphicFramePr>
      <xdr:xfrm>
        <a:off x="158400" y="2004120"/>
        <a:ext cx="4708080" cy="2520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6</xdr:row>
      <xdr:rowOff>181080</xdr:rowOff>
    </xdr:from>
    <xdr:to>
      <xdr:col>11</xdr:col>
      <xdr:colOff>1398960</xdr:colOff>
      <xdr:row>17</xdr:row>
      <xdr:rowOff>23400</xdr:rowOff>
    </xdr:to>
    <xdr:graphicFrame>
      <xdr:nvGraphicFramePr>
        <xdr:cNvPr id="1" name="dops"/>
        <xdr:cNvGraphicFramePr/>
      </xdr:nvGraphicFramePr>
      <xdr:xfrm>
        <a:off x="10477440" y="2004120"/>
        <a:ext cx="4746600" cy="2520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9360</xdr:colOff>
      <xdr:row>6</xdr:row>
      <xdr:rowOff>181080</xdr:rowOff>
    </xdr:from>
    <xdr:to>
      <xdr:col>7</xdr:col>
      <xdr:colOff>1399320</xdr:colOff>
      <xdr:row>17</xdr:row>
      <xdr:rowOff>23400</xdr:rowOff>
    </xdr:to>
    <xdr:graphicFrame>
      <xdr:nvGraphicFramePr>
        <xdr:cNvPr id="2" name="Диаграмма 12"/>
        <xdr:cNvGraphicFramePr/>
      </xdr:nvGraphicFramePr>
      <xdr:xfrm>
        <a:off x="5320440" y="2004120"/>
        <a:ext cx="4737600" cy="2520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9360</xdr:colOff>
      <xdr:row>6</xdr:row>
      <xdr:rowOff>181080</xdr:rowOff>
    </xdr:from>
    <xdr:to>
      <xdr:col>15</xdr:col>
      <xdr:colOff>1386360</xdr:colOff>
      <xdr:row>17</xdr:row>
      <xdr:rowOff>23400</xdr:rowOff>
    </xdr:to>
    <xdr:graphicFrame>
      <xdr:nvGraphicFramePr>
        <xdr:cNvPr id="3" name="Диаграмма 12"/>
        <xdr:cNvGraphicFramePr/>
      </xdr:nvGraphicFramePr>
      <xdr:xfrm>
        <a:off x="15653160" y="2004120"/>
        <a:ext cx="4724640" cy="2520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7</xdr:row>
      <xdr:rowOff>0</xdr:rowOff>
    </xdr:from>
    <xdr:to>
      <xdr:col>3</xdr:col>
      <xdr:colOff>1559160</xdr:colOff>
      <xdr:row>14</xdr:row>
      <xdr:rowOff>151920</xdr:rowOff>
    </xdr:to>
    <xdr:graphicFrame>
      <xdr:nvGraphicFramePr>
        <xdr:cNvPr id="4" name="Диаграмма 4"/>
        <xdr:cNvGraphicFramePr/>
      </xdr:nvGraphicFramePr>
      <xdr:xfrm>
        <a:off x="144720" y="1984680"/>
        <a:ext cx="5428800" cy="1938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7</xdr:row>
      <xdr:rowOff>0</xdr:rowOff>
    </xdr:from>
    <xdr:to>
      <xdr:col>7</xdr:col>
      <xdr:colOff>1397880</xdr:colOff>
      <xdr:row>14</xdr:row>
      <xdr:rowOff>136800</xdr:rowOff>
    </xdr:to>
    <xdr:graphicFrame>
      <xdr:nvGraphicFramePr>
        <xdr:cNvPr id="5" name="Диаграмма 5"/>
        <xdr:cNvGraphicFramePr/>
      </xdr:nvGraphicFramePr>
      <xdr:xfrm>
        <a:off x="6094080" y="1984680"/>
        <a:ext cx="4957560" cy="1923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24480</xdr:colOff>
      <xdr:row>7</xdr:row>
      <xdr:rowOff>0</xdr:rowOff>
    </xdr:from>
    <xdr:to>
      <xdr:col>15</xdr:col>
      <xdr:colOff>1251000</xdr:colOff>
      <xdr:row>14</xdr:row>
      <xdr:rowOff>151920</xdr:rowOff>
    </xdr:to>
    <xdr:graphicFrame>
      <xdr:nvGraphicFramePr>
        <xdr:cNvPr id="6" name="dops"/>
        <xdr:cNvGraphicFramePr/>
      </xdr:nvGraphicFramePr>
      <xdr:xfrm>
        <a:off x="16392240" y="1984680"/>
        <a:ext cx="4322520" cy="1938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17</xdr:col>
      <xdr:colOff>0</xdr:colOff>
      <xdr:row>7</xdr:row>
      <xdr:rowOff>0</xdr:rowOff>
    </xdr:from>
    <xdr:to>
      <xdr:col>19</xdr:col>
      <xdr:colOff>1432080</xdr:colOff>
      <xdr:row>14</xdr:row>
      <xdr:rowOff>144720</xdr:rowOff>
    </xdr:to>
    <xdr:graphicFrame>
      <xdr:nvGraphicFramePr>
        <xdr:cNvPr id="7" name="Диаграмма 5"/>
        <xdr:cNvGraphicFramePr/>
      </xdr:nvGraphicFramePr>
      <xdr:xfrm>
        <a:off x="21156840" y="1984680"/>
        <a:ext cx="4991760" cy="1931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77"/>
  <sheetViews>
    <sheetView showFormulas="false" showGridLines="false" showRowColHeaders="true" showZeros="true" rightToLeft="false" tabSelected="true" showOutlineSymbols="true" defaultGridColor="true" view="normal" topLeftCell="A42" colorId="64" zoomScale="70" zoomScaleNormal="70" zoomScalePageLayoutView="100" workbookViewId="0">
      <selection pane="topLeft" activeCell="M603" activeCellId="0" sqref="M603"/>
    </sheetView>
  </sheetViews>
  <sheetFormatPr defaultRowHeight="15.75" zeroHeight="false" outlineLevelRow="1" outlineLevelCol="0"/>
  <cols>
    <col collapsed="false" customWidth="true" hidden="false" outlineLevel="0" max="1" min="1" style="1" width="1.87"/>
    <col collapsed="false" customWidth="true" hidden="false" outlineLevel="0" max="4" min="2" style="0" width="21.63"/>
    <col collapsed="false" customWidth="true" hidden="false" outlineLevel="0" max="5" min="5" style="1" width="1.87"/>
    <col collapsed="false" customWidth="true" hidden="false" outlineLevel="0" max="8" min="6" style="0" width="21.63"/>
    <col collapsed="false" customWidth="true" hidden="false" outlineLevel="0" max="9" min="9" style="1" width="1.87"/>
    <col collapsed="false" customWidth="true" hidden="false" outlineLevel="0" max="12" min="10" style="0" width="21.63"/>
    <col collapsed="false" customWidth="true" hidden="false" outlineLevel="0" max="13" min="13" style="0" width="1.87"/>
    <col collapsed="false" customWidth="true" hidden="false" outlineLevel="0" max="16" min="14" style="0" width="21.63"/>
    <col collapsed="false" customWidth="true" hidden="false" outlineLevel="0" max="1025" min="17" style="0" width="11"/>
  </cols>
  <sheetData>
    <row r="1" s="1" customFormat="true" ht="15" hidden="false" customHeight="true" outlineLevel="0" collapsed="false">
      <c r="A1" s="2"/>
    </row>
    <row r="2" customFormat="false" ht="23.25" hidden="false" customHeight="false" outlineLevel="0" collapsed="false">
      <c r="A2" s="2"/>
      <c r="B2" s="3" t="str">
        <f aca="false">"Результаты агентства за " &amp; current_month</f>
        <v>Результаты агентства за 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1" customFormat="true" ht="15" hidden="false" customHeight="true" outlineLevel="0" collapsed="false">
      <c r="A3" s="2"/>
    </row>
    <row r="4" s="8" customFormat="true" ht="20.1" hidden="false" customHeight="true" outlineLevel="0" collapsed="false">
      <c r="A4" s="4"/>
      <c r="B4" s="5" t="str">
        <f aca="false">"План по турам на " &amp; current_month</f>
        <v>План по турам на </v>
      </c>
      <c r="C4" s="5"/>
      <c r="D4" s="5"/>
      <c r="E4" s="6"/>
      <c r="F4" s="7" t="str">
        <f aca="true">"План по турам нарастающим итогом на "&amp;  DAY(TODAY()) &amp; "." &amp;  MONTH(TODAY())</f>
        <v>План по турам нарастающим итогом на 23.8</v>
      </c>
      <c r="G4" s="7"/>
      <c r="H4" s="7"/>
      <c r="I4" s="6"/>
      <c r="J4" s="5" t="str">
        <f aca="false">"План по допам на " &amp; current_month</f>
        <v>План по допам на </v>
      </c>
      <c r="K4" s="5"/>
      <c r="L4" s="5"/>
      <c r="N4" s="7" t="str">
        <f aca="true">"План по допам нарастающим итогом на "&amp;  DAY(TODAY()) &amp; "." &amp;  MONTH(TODAY())</f>
        <v>План по допам нарастающим итогом на 23.8</v>
      </c>
      <c r="O4" s="7"/>
      <c r="P4" s="7"/>
    </row>
    <row r="5" s="12" customFormat="true" ht="20.1" hidden="false" customHeight="true" outlineLevel="0" collapsed="false">
      <c r="A5" s="9"/>
      <c r="B5" s="10" t="s">
        <v>0</v>
      </c>
      <c r="C5" s="10" t="s">
        <v>1</v>
      </c>
      <c r="D5" s="10" t="s">
        <v>2</v>
      </c>
      <c r="E5" s="11"/>
      <c r="F5" s="10" t="s">
        <v>0</v>
      </c>
      <c r="G5" s="10" t="s">
        <v>1</v>
      </c>
      <c r="H5" s="10" t="s">
        <v>2</v>
      </c>
      <c r="I5" s="11"/>
      <c r="J5" s="10" t="s">
        <v>0</v>
      </c>
      <c r="K5" s="10" t="s">
        <v>1</v>
      </c>
      <c r="L5" s="10" t="s">
        <v>2</v>
      </c>
      <c r="N5" s="10" t="s">
        <v>0</v>
      </c>
      <c r="O5" s="10" t="s">
        <v>1</v>
      </c>
      <c r="P5" s="10" t="s">
        <v>2</v>
      </c>
    </row>
    <row r="6" s="16" customFormat="true" ht="50.1" hidden="false" customHeight="true" outlineLevel="0" collapsed="false">
      <c r="A6" s="2"/>
      <c r="B6" s="13" t="n">
        <f aca="false">ПланТуры</f>
        <v>0</v>
      </c>
      <c r="C6" s="13" t="n">
        <f aca="true">SUMIF(INDIRECT("Фактеризация!$C$1:$C$999"),"Прибыль по турам",INDIRECT("Фактеризация!$AI$1:$AI$999"))</f>
        <v>0</v>
      </c>
      <c r="D6" s="14" t="n">
        <f aca="false">IFERROR(C6/B6,0)</f>
        <v>0</v>
      </c>
      <c r="E6" s="15"/>
      <c r="F6" s="13" t="e">
        <f aca="false">B6*НарастающийИтогДоля</f>
        <v>#N/A</v>
      </c>
      <c r="G6" s="13" t="n">
        <f aca="false">C6</f>
        <v>0</v>
      </c>
      <c r="H6" s="14" t="n">
        <f aca="false">IFERROR(G6/F6,0)</f>
        <v>0</v>
      </c>
      <c r="I6" s="15"/>
      <c r="J6" s="13" t="n">
        <f aca="false">ПланДопы</f>
        <v>0</v>
      </c>
      <c r="K6" s="13" t="n">
        <f aca="true">SUMIF(INDIRECT("Фактеризация!$C$1:$C$999"),"Прибыль по допам",INDIRECT("Фактеризация!$AI$1:$AI$999"))</f>
        <v>0</v>
      </c>
      <c r="L6" s="14" t="n">
        <f aca="false">IFERROR(K6/J6,0)</f>
        <v>0</v>
      </c>
      <c r="N6" s="13" t="n">
        <f aca="false">IFERROR(J6*НарастающийИтогДоля,0)</f>
        <v>0</v>
      </c>
      <c r="O6" s="13" t="n">
        <f aca="false">K6</f>
        <v>0</v>
      </c>
      <c r="P6" s="14" t="n">
        <f aca="false">IFERROR(O6/N6,0)</f>
        <v>0</v>
      </c>
    </row>
    <row r="7" s="1" customFormat="true" ht="15" hidden="false" customHeight="true" outlineLevel="0" collapsed="false">
      <c r="A7" s="2"/>
      <c r="F7" s="17"/>
      <c r="N7" s="17"/>
    </row>
    <row r="8" s="1" customFormat="true" ht="15" hidden="false" customHeight="true" outlineLevel="0" collapsed="false">
      <c r="A8" s="2"/>
      <c r="F8" s="17"/>
      <c r="N8" s="17"/>
    </row>
    <row r="9" customFormat="false" ht="20.1" hidden="false" customHeight="true" outlineLevel="0" collapsed="false">
      <c r="A9" s="2"/>
    </row>
    <row r="10" customFormat="false" ht="20.1" hidden="false" customHeight="true" outlineLevel="0" collapsed="false">
      <c r="A10" s="2"/>
      <c r="B10" s="18"/>
    </row>
    <row r="11" customFormat="false" ht="20.1" hidden="false" customHeight="true" outlineLevel="0" collapsed="false">
      <c r="A11" s="2"/>
    </row>
    <row r="12" customFormat="false" ht="20.1" hidden="false" customHeight="true" outlineLevel="0" collapsed="false">
      <c r="A12" s="2"/>
    </row>
    <row r="13" customFormat="false" ht="20.1" hidden="false" customHeight="true" outlineLevel="0" collapsed="false">
      <c r="A13" s="2"/>
    </row>
    <row r="14" customFormat="false" ht="20.1" hidden="false" customHeight="true" outlineLevel="0" collapsed="false">
      <c r="A14" s="2"/>
    </row>
    <row r="15" customFormat="false" ht="20.1" hidden="false" customHeight="true" outlineLevel="0" collapsed="false">
      <c r="A15" s="2"/>
    </row>
    <row r="16" customFormat="false" ht="20.1" hidden="false" customHeight="true" outlineLevel="0" collapsed="false">
      <c r="A16" s="2"/>
    </row>
    <row r="17" customFormat="false" ht="20.1" hidden="false" customHeight="true" outlineLevel="0" collapsed="false">
      <c r="A17" s="2"/>
    </row>
    <row r="18" s="1" customFormat="true" ht="15" hidden="false" customHeight="true" outlineLevel="0" collapsed="false">
      <c r="A18" s="2"/>
    </row>
    <row r="19" s="1" customFormat="true" ht="15" hidden="false" customHeight="true" outlineLevel="0" collapsed="false">
      <c r="A19" s="2"/>
    </row>
    <row r="20" s="1" customFormat="true" ht="15" hidden="false" customHeight="true" outlineLevel="0" collapsed="false">
      <c r="A20" s="2"/>
    </row>
    <row r="21" s="1" customFormat="true" ht="24.95" hidden="false" customHeight="true" outlineLevel="0" collapsed="false">
      <c r="A21" s="2" t="n">
        <v>1</v>
      </c>
      <c r="B21" s="19" t="str">
        <f aca="true">INDIRECT("Менеджер_"&amp;A21)</f>
        <v>Менеджер1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="1" customFormat="true" ht="15" hidden="false" customHeight="true" outlineLevel="0" collapsed="false">
      <c r="A22" s="2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customFormat="false" ht="20.1" hidden="false" customHeight="true" outlineLevel="0" collapsed="false">
      <c r="A23" s="2"/>
      <c r="B23" s="5" t="str">
        <f aca="false">"План по турам на " &amp; current_month</f>
        <v>План по турам на </v>
      </c>
      <c r="C23" s="5"/>
      <c r="D23" s="5"/>
      <c r="E23" s="6"/>
      <c r="F23" s="7" t="str">
        <f aca="true">"План нарастающим итогом на "&amp;  DAY(TODAY()) &amp; "." &amp;  MONTH(TODAY())</f>
        <v>План нарастающим итогом на 23.8</v>
      </c>
      <c r="G23" s="7"/>
      <c r="H23" s="7"/>
      <c r="I23" s="6"/>
      <c r="J23" s="5" t="str">
        <f aca="false">"План по доп. услугам на " &amp; current_month</f>
        <v>План по доп. услугам на </v>
      </c>
      <c r="K23" s="5"/>
      <c r="L23" s="5"/>
      <c r="N23" s="7" t="str">
        <f aca="true">"План по допам нарастающим итогом на "&amp;  DAY(TODAY()) &amp; "." &amp;  MONTH(TODAY())</f>
        <v>План по допам нарастающим итогом на 23.8</v>
      </c>
      <c r="O23" s="7"/>
      <c r="P23" s="7"/>
    </row>
    <row r="24" customFormat="false" ht="20.1" hidden="false" customHeight="true" outlineLevel="0" collapsed="false">
      <c r="A24" s="2"/>
      <c r="B24" s="10" t="s">
        <v>0</v>
      </c>
      <c r="C24" s="10" t="s">
        <v>1</v>
      </c>
      <c r="D24" s="10" t="s">
        <v>2</v>
      </c>
      <c r="E24" s="11"/>
      <c r="F24" s="10" t="s">
        <v>0</v>
      </c>
      <c r="G24" s="10" t="s">
        <v>1</v>
      </c>
      <c r="H24" s="10" t="s">
        <v>3</v>
      </c>
      <c r="I24" s="11"/>
      <c r="J24" s="10" t="s">
        <v>0</v>
      </c>
      <c r="K24" s="10" t="s">
        <v>1</v>
      </c>
      <c r="L24" s="10" t="s">
        <v>3</v>
      </c>
      <c r="N24" s="10" t="s">
        <v>0</v>
      </c>
      <c r="O24" s="10" t="s">
        <v>1</v>
      </c>
      <c r="P24" s="10" t="s">
        <v>2</v>
      </c>
    </row>
    <row r="25" customFormat="false" ht="50.1" hidden="false" customHeight="true" outlineLevel="0" collapsed="false">
      <c r="A25" s="2"/>
      <c r="B25" s="21" t="n">
        <f aca="true">INDIRECT("ЦельТурыМенеджер"&amp;A21)</f>
        <v>0</v>
      </c>
      <c r="C25" s="21" t="n">
        <f aca="true">INDIRECT("ФактТурыМенеджер"&amp;A21)</f>
        <v>0</v>
      </c>
      <c r="D25" s="22" t="n">
        <f aca="false">IFERROR(C25/B25,0)</f>
        <v>0</v>
      </c>
      <c r="E25" s="23"/>
      <c r="F25" s="21" t="e">
        <f aca="false">B25*НарастающийИтогДоля</f>
        <v>#N/A</v>
      </c>
      <c r="G25" s="21" t="n">
        <f aca="false">C25</f>
        <v>0</v>
      </c>
      <c r="H25" s="22" t="n">
        <f aca="false">IFERROR(G25/F25,0)</f>
        <v>0</v>
      </c>
      <c r="I25" s="23"/>
      <c r="J25" s="21" t="n">
        <f aca="true">INDIRECT("ЦельДопыМенеджер"&amp;A21)</f>
        <v>0</v>
      </c>
      <c r="K25" s="21" t="n">
        <f aca="true">INDIRECT("ФактДопыМенеджер"&amp;A21)</f>
        <v>0</v>
      </c>
      <c r="L25" s="22" t="n">
        <f aca="false">IFERROR(K25/J25,0)</f>
        <v>0</v>
      </c>
      <c r="N25" s="13" t="n">
        <f aca="false">IFERROR(J25*НарастающийИтогДоля,0)</f>
        <v>0</v>
      </c>
      <c r="O25" s="13" t="n">
        <f aca="false">K25</f>
        <v>0</v>
      </c>
      <c r="P25" s="22" t="n">
        <f aca="false">IFERROR(O25/N25,0)</f>
        <v>0</v>
      </c>
    </row>
    <row r="26" s="1" customFormat="true" ht="9.95" hidden="false" customHeight="true" outlineLevel="0" collapsed="false">
      <c r="A26" s="2"/>
      <c r="N26" s="17"/>
    </row>
    <row r="27" customFormat="false" ht="20.1" hidden="false" customHeight="true" outlineLevel="1" collapsed="false">
      <c r="A27" s="2"/>
      <c r="B27" s="24" t="s">
        <v>4</v>
      </c>
      <c r="C27" s="25"/>
      <c r="D27" s="26" t="str">
        <f aca="true">IF(C25&gt;=INDIRECT("ЗарплатаТурыМега"&amp;A21),"---",IF(0,0,INDEX(INDIRECT("ЗарплатаТурыВсе"&amp;A21),IFERROR(MATCH(C25,INDIRECT("ЗарплатаТурыВсе"&amp;A21),1),0)+1)-C25))</f>
        <v>---</v>
      </c>
      <c r="F27" s="27" t="e">
        <f aca="false">IF(G25&gt;=F25*1.1,"Пока идем с перевыполнением,",IF(G25&gt;=F25*0.9,"Пока мы в плане,","Пока мы отстаем от плана,"))</f>
        <v>#N/A</v>
      </c>
      <c r="G27" s="1"/>
      <c r="H27" s="1"/>
      <c r="J27" s="24" t="s">
        <v>4</v>
      </c>
      <c r="K27" s="25"/>
      <c r="L27" s="28" t="str">
        <f aca="true">IF(O25&gt;=INDIRECT("ЗарплатаДопыМега"&amp;A21),"---",IF(0,0,INDEX(INDIRECT("ЗарплатаДопыВсе"&amp;A21),IFERROR(MATCH(O25,INDIRECT("ЗарплатаДопыВсе"&amp;A21),1),0)+1)-O25))</f>
        <v>---</v>
      </c>
      <c r="N27" s="27" t="str">
        <f aca="false">IF(O25&gt;=N25*1.1,"Пока идем с перевыполнением,",IF(O25&gt;=N25*0.9,"Пока мы в плане,","Пока мы отстаем от плана,"))</f>
        <v>Пока идем с перевыполнением,</v>
      </c>
      <c r="O27" s="1"/>
      <c r="P27" s="1"/>
    </row>
    <row r="28" customFormat="false" ht="20.1" hidden="false" customHeight="true" outlineLevel="1" collapsed="false">
      <c r="A28" s="2"/>
      <c r="B28" s="24" t="s">
        <v>5</v>
      </c>
      <c r="C28" s="25"/>
      <c r="D28" s="29" t="str">
        <f aca="true">IF(C25&gt;=INDIRECT("ЗарплатаТурыМега"&amp;A21),"---",IF(0,0,CHOOSE(IFERROR(MATCH(C25,INDIRECT("ЗарплатаТурыВсе"&amp;A21),1),0)+1,"I","II","III","Цель","Цель+","Цель++","МегаЦель")))</f>
        <v>---</v>
      </c>
      <c r="F28" s="30" t="e">
        <f aca="false">IF(G25&gt;=F25*1.1,"отличный результат!",IF(G25&gt;=F25*0.9,"хороший результат.","надо нагонять."))</f>
        <v>#N/A</v>
      </c>
      <c r="G28" s="1"/>
      <c r="H28" s="1"/>
      <c r="J28" s="24" t="s">
        <v>5</v>
      </c>
      <c r="K28" s="25"/>
      <c r="L28" s="31" t="str">
        <f aca="true">IF(O25&gt;=INDIRECT("ЗарплатаДопыМега"&amp;A21),"---",IF(0,0,CHOOSE(IFERROR(MATCH(O25,INDIRECT("ЗарплатаДопыВсе"&amp;A21),1),0)+1,"I","II","III","Цель","Цель+","Цель++","МегаЦель")))</f>
        <v>---</v>
      </c>
      <c r="N28" s="30" t="str">
        <f aca="false">IF(O25&gt;=N25*1.1,"отличный результат!",IF(O25&gt;=N25*0.9,"хороший результат.","надо нагонять."))</f>
        <v>отличный результат!</v>
      </c>
    </row>
    <row r="29" customFormat="false" ht="20.1" hidden="false" customHeight="true" outlineLevel="1" collapsed="false">
      <c r="A29" s="2"/>
      <c r="B29" s="25" t="s">
        <v>6</v>
      </c>
      <c r="C29" s="25"/>
      <c r="D29" s="32" t="str">
        <f aca="true">IF(C25&gt;=INDIRECT("ЗарплатаТурыМега"&amp;A21),"---",IF(0,0,INDEX(INDIRECT("БонусыТурыВсе"&amp;A21),IFERROR(MATCH(C25,INDIRECT("ЗарплатаТурыВсе"&amp;A21),1),0)+1)))</f>
        <v>---</v>
      </c>
      <c r="F29" s="30" t="e">
        <f aca="false">IF(G25&gt;=F25*1.1,"Продолжай в том же духе.",IF(G25&gt;=F25*0.9,"Но расслабляться рано!","Позвони клиентам!"))</f>
        <v>#N/A</v>
      </c>
      <c r="G29" s="1"/>
      <c r="H29" s="1"/>
      <c r="J29" s="25" t="s">
        <v>6</v>
      </c>
      <c r="K29" s="25"/>
      <c r="L29" s="33" t="str">
        <f aca="true">IF(O25&gt;=INDIRECT("ЗарплатаДопыМега"&amp;A21),"---",IF(0,0,INDEX(INDIRECT("БонусыДопыВсе"&amp;A21),IFERROR(MATCH(O25,INDIRECT("ЗарплатаДопыВсе"&amp;A21),1),0)+1)))</f>
        <v>---</v>
      </c>
      <c r="N29" s="30" t="str">
        <f aca="false">IF(O25&gt;=N25*1.1,"Продолжай в том же духе.",IF(O25&gt;=N25*0.9,"Но расслабляться рано!","Позвони клиентам!"))</f>
        <v>Продолжай в том же духе.</v>
      </c>
    </row>
    <row r="30" s="1" customFormat="true" ht="9.95" hidden="false" customHeight="true" outlineLevel="1" collapsed="false">
      <c r="A30" s="2"/>
    </row>
    <row r="31" s="1" customFormat="true" ht="18" hidden="false" customHeight="true" outlineLevel="1" collapsed="false">
      <c r="A31" s="2"/>
      <c r="B31" s="34" t="s">
        <v>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="1" customFormat="true" ht="18" hidden="false" customHeight="true" outlineLevel="1" collapsed="false">
      <c r="A32" s="2"/>
      <c r="B32" s="35" t="s">
        <v>8</v>
      </c>
      <c r="C32" s="35"/>
      <c r="D32" s="35"/>
      <c r="E32" s="36"/>
      <c r="F32" s="37" t="s">
        <v>9</v>
      </c>
      <c r="G32" s="38" t="s">
        <v>10</v>
      </c>
      <c r="H32" s="39" t="s">
        <v>11</v>
      </c>
      <c r="I32" s="40"/>
      <c r="J32" s="41" t="s">
        <v>12</v>
      </c>
      <c r="K32" s="41"/>
      <c r="L32" s="41"/>
      <c r="M32" s="36"/>
      <c r="N32" s="38" t="s">
        <v>9</v>
      </c>
      <c r="O32" s="38" t="s">
        <v>10</v>
      </c>
      <c r="P32" s="42" t="s">
        <v>11</v>
      </c>
    </row>
    <row r="33" s="1" customFormat="true" ht="18" hidden="false" customHeight="true" outlineLevel="1" collapsed="false">
      <c r="A33" s="2"/>
      <c r="B33" s="43" t="str">
        <f aca="false">Настройки!$N$5</f>
        <v>Нашел ошибку или внес конструктивную идею по доработке сайта</v>
      </c>
      <c r="C33" s="43"/>
      <c r="D33" s="43"/>
      <c r="E33" s="36"/>
      <c r="F33" s="44" t="n">
        <f aca="true">OFFSET(INDIRECT("ХорошиеДелаМенеджер"&amp;A21),0,0)</f>
        <v>0</v>
      </c>
      <c r="G33" s="44" t="n">
        <f aca="false">Настройки!$O$5</f>
        <v>100</v>
      </c>
      <c r="H33" s="44" t="n">
        <f aca="false">F33*G33</f>
        <v>0</v>
      </c>
      <c r="I33" s="40"/>
      <c r="J33" s="45" t="str">
        <f aca="false">Настройки!$K$5</f>
        <v>Опоздал на работу</v>
      </c>
      <c r="K33" s="45"/>
      <c r="L33" s="45"/>
      <c r="M33" s="36"/>
      <c r="N33" s="44" t="n">
        <f aca="true">OFFSET(INDIRECT("ПлохиеДелаМенеджер"&amp;A21),0,0)</f>
        <v>0</v>
      </c>
      <c r="O33" s="44" t="n">
        <f aca="false">Настройки!$L$5</f>
        <v>250</v>
      </c>
      <c r="P33" s="44" t="n">
        <f aca="false">N33*O33</f>
        <v>0</v>
      </c>
    </row>
    <row r="34" s="1" customFormat="true" ht="18" hidden="false" customHeight="true" outlineLevel="1" collapsed="false">
      <c r="A34" s="2"/>
      <c r="B34" s="43" t="str">
        <f aca="false">Настройки!$N$6</f>
        <v>Добавил новую информацию на сайт или обновил существующую</v>
      </c>
      <c r="C34" s="43"/>
      <c r="D34" s="43"/>
      <c r="E34" s="36"/>
      <c r="F34" s="44" t="n">
        <f aca="true">OFFSET(INDIRECT("ХорошиеДелаМенеджер"&amp;A21),1,0)</f>
        <v>0</v>
      </c>
      <c r="G34" s="44" t="n">
        <f aca="false">Настройки!$O$6</f>
        <v>300</v>
      </c>
      <c r="H34" s="44" t="n">
        <f aca="false">F34*G34</f>
        <v>0</v>
      </c>
      <c r="I34" s="40"/>
      <c r="J34" s="45" t="str">
        <f aca="false">Настройки!$K$6</f>
        <v>Опоздал на работу не предупредив об этом по телефону</v>
      </c>
      <c r="K34" s="45"/>
      <c r="L34" s="45"/>
      <c r="M34" s="36"/>
      <c r="N34" s="44" t="n">
        <f aca="true">OFFSET(INDIRECT("ПлохиеДелаМенеджер"&amp;A21),1,0)</f>
        <v>0</v>
      </c>
      <c r="O34" s="44" t="n">
        <f aca="false">Настройки!$L$6</f>
        <v>300</v>
      </c>
      <c r="P34" s="44" t="n">
        <f aca="false">N34*O34</f>
        <v>0</v>
      </c>
    </row>
    <row r="35" s="1" customFormat="true" ht="18" hidden="false" customHeight="true" outlineLevel="1" collapsed="false">
      <c r="A35" s="2"/>
      <c r="B35" s="43" t="str">
        <f aca="false">Настройки!$N$7</f>
        <v>Взял отзыв у клиента или рекомендацию у клиента</v>
      </c>
      <c r="C35" s="43"/>
      <c r="D35" s="43"/>
      <c r="E35" s="36"/>
      <c r="F35" s="44" t="n">
        <f aca="true">OFFSET(INDIRECT("ХорошиеДелаМенеджер"&amp;A21),2,0)</f>
        <v>0</v>
      </c>
      <c r="G35" s="44" t="n">
        <f aca="false">Настройки!$O$7</f>
        <v>300</v>
      </c>
      <c r="H35" s="44" t="n">
        <f aca="false">F35*G35</f>
        <v>0</v>
      </c>
      <c r="I35" s="40"/>
      <c r="J35" s="45" t="str">
        <f aca="false">Настройки!$K$7</f>
        <v>Негативный отзыв клиента о работе менеджера</v>
      </c>
      <c r="K35" s="45"/>
      <c r="L35" s="45"/>
      <c r="M35" s="36"/>
      <c r="N35" s="44" t="n">
        <f aca="true">OFFSET(INDIRECT("ПлохиеДелаМенеджер"&amp;A21),2,0)</f>
        <v>0</v>
      </c>
      <c r="O35" s="44" t="n">
        <f aca="false">Настройки!$L$7</f>
        <v>400</v>
      </c>
      <c r="P35" s="44" t="n">
        <f aca="false">N35*O35</f>
        <v>0</v>
      </c>
    </row>
    <row r="36" s="1" customFormat="true" ht="18" hidden="false" customHeight="true" outlineLevel="1" collapsed="false">
      <c r="A36" s="2"/>
      <c r="B36" s="43" t="str">
        <f aca="false">Настройки!$N$8</f>
        <v>Выход на работу в выходной или праздничный день</v>
      </c>
      <c r="C36" s="43"/>
      <c r="D36" s="43"/>
      <c r="E36" s="36"/>
      <c r="F36" s="44" t="n">
        <f aca="true">OFFSET(INDIRECT("ХорошиеДелаМенеджер"&amp;A21),3,0)</f>
        <v>0</v>
      </c>
      <c r="G36" s="44" t="n">
        <f aca="false">Настройки!$O$8</f>
        <v>500</v>
      </c>
      <c r="H36" s="44" t="n">
        <f aca="false">F36*G36</f>
        <v>0</v>
      </c>
      <c r="I36" s="40"/>
      <c r="J36" s="45" t="str">
        <f aca="false">Настройки!$K$8</f>
        <v>Допущенна ошибка в договоре с туристом</v>
      </c>
      <c r="K36" s="45"/>
      <c r="L36" s="45"/>
      <c r="M36" s="36"/>
      <c r="N36" s="44" t="n">
        <f aca="true">OFFSET(INDIRECT("ПлохиеДелаМенеджер"&amp;A21),3,0)</f>
        <v>0</v>
      </c>
      <c r="O36" s="44" t="n">
        <f aca="false">Настройки!$L$8</f>
        <v>500</v>
      </c>
      <c r="P36" s="44" t="n">
        <f aca="false">N36*O36</f>
        <v>0</v>
      </c>
    </row>
    <row r="37" s="1" customFormat="true" ht="18" hidden="false" customHeight="true" outlineLevel="1" collapsed="false">
      <c r="A37" s="2"/>
      <c r="B37" s="43" t="str">
        <f aca="false">Настройки!$N$9</f>
        <v>Заполнение полной информации об отеле в таблице отелей</v>
      </c>
      <c r="C37" s="43"/>
      <c r="D37" s="43"/>
      <c r="E37" s="36"/>
      <c r="F37" s="44" t="n">
        <f aca="true">OFFSET(INDIRECT("ХорошиеДелаМенеджер"&amp;A21),4,0)</f>
        <v>0</v>
      </c>
      <c r="G37" s="44" t="n">
        <f aca="false">Настройки!$O$9</f>
        <v>100</v>
      </c>
      <c r="H37" s="44" t="n">
        <f aca="false">F37*G37</f>
        <v>0</v>
      </c>
      <c r="I37" s="40"/>
      <c r="J37" s="45" t="str">
        <f aca="false">Настройки!$K$9</f>
        <v>Не внесена информация о взаимодействии с клиентом в CRM</v>
      </c>
      <c r="K37" s="45"/>
      <c r="L37" s="45"/>
      <c r="M37" s="36"/>
      <c r="N37" s="44" t="n">
        <f aca="true">OFFSET(INDIRECT("ПлохиеДелаМенеджер"&amp;A21),4,0)</f>
        <v>0</v>
      </c>
      <c r="O37" s="44" t="n">
        <f aca="false">Настройки!$L$9</f>
        <v>250</v>
      </c>
      <c r="P37" s="44" t="n">
        <f aca="false">N37*O37</f>
        <v>0</v>
      </c>
    </row>
    <row r="38" s="1" customFormat="true" ht="18" hidden="false" customHeight="true" outlineLevel="1" collapsed="false">
      <c r="A38" s="2"/>
      <c r="B38" s="43" t="str">
        <f aca="false">Настройки!$N$10</f>
        <v>Подготовил презентацию или доклад по направлению</v>
      </c>
      <c r="C38" s="43"/>
      <c r="D38" s="43"/>
      <c r="E38" s="36"/>
      <c r="F38" s="44" t="n">
        <f aca="true">OFFSET(INDIRECT("ХорошиеДелаМенеджер"&amp;A21),5,0)</f>
        <v>0</v>
      </c>
      <c r="G38" s="44" t="n">
        <f aca="false">Настройки!$O$10</f>
        <v>300</v>
      </c>
      <c r="H38" s="44" t="n">
        <f aca="false">F38*G38</f>
        <v>0</v>
      </c>
      <c r="I38" s="40"/>
      <c r="J38" s="45" t="str">
        <f aca="false">Настройки!$K$10</f>
        <v>Не знание рекламных акций турагентства</v>
      </c>
      <c r="K38" s="45"/>
      <c r="L38" s="45"/>
      <c r="M38" s="36"/>
      <c r="N38" s="44" t="n">
        <f aca="true">OFFSET(INDIRECT("ПлохиеДелаМенеджер"&amp;A21),5,0)</f>
        <v>0</v>
      </c>
      <c r="O38" s="44" t="n">
        <f aca="false">Настройки!$L$10</f>
        <v>250</v>
      </c>
      <c r="P38" s="44" t="n">
        <f aca="false">N38*O38</f>
        <v>0</v>
      </c>
    </row>
    <row r="39" s="1" customFormat="true" ht="18" hidden="false" customHeight="true" outlineLevel="1" collapsed="false">
      <c r="A39" s="2"/>
      <c r="B39" s="43" t="str">
        <f aca="false">Настройки!$N$11</f>
        <v>Подготовил выпуск рассылки</v>
      </c>
      <c r="C39" s="43"/>
      <c r="D39" s="43"/>
      <c r="E39" s="46"/>
      <c r="F39" s="44" t="n">
        <f aca="true">OFFSET(INDIRECT("ХорошиеДелаМенеджер"&amp;A21),6,0)</f>
        <v>0</v>
      </c>
      <c r="G39" s="44" t="n">
        <f aca="false">Настройки!$O$11</f>
        <v>500</v>
      </c>
      <c r="H39" s="44" t="n">
        <f aca="false">F39*G39</f>
        <v>0</v>
      </c>
      <c r="I39" s="47"/>
      <c r="J39" s="45" t="str">
        <f aca="false">Настройки!$K$11</f>
        <v>В CRM указан не корректный источник рекламы</v>
      </c>
      <c r="K39" s="45"/>
      <c r="L39" s="45"/>
      <c r="M39" s="46"/>
      <c r="N39" s="44" t="n">
        <f aca="true">OFFSET(INDIRECT("ПлохиеДелаМенеджер"&amp;A21),6,0)</f>
        <v>0</v>
      </c>
      <c r="O39" s="44" t="n">
        <f aca="false">Настройки!$L$11</f>
        <v>250</v>
      </c>
      <c r="P39" s="44" t="n">
        <f aca="false">N39*O39</f>
        <v>0</v>
      </c>
    </row>
    <row r="40" s="1" customFormat="true" ht="9.95" hidden="false" customHeight="true" outlineLevel="1" collapsed="false">
      <c r="A40" s="2"/>
    </row>
    <row r="41" customFormat="false" ht="18.75" hidden="false" customHeight="false" outlineLevel="1" collapsed="false">
      <c r="A41" s="2"/>
      <c r="B41" s="48" t="s">
        <v>13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N41" s="49" t="str">
        <f aca="true">"Моя зарплата на " &amp;   DAY(TODAY()) &amp; "." &amp;  MONTH(TODAY())</f>
        <v>Моя зарплата на 23.8</v>
      </c>
      <c r="O41" s="49"/>
      <c r="P41" s="49"/>
    </row>
    <row r="42" customFormat="false" ht="18" hidden="false" customHeight="true" outlineLevel="1" collapsed="false">
      <c r="A42" s="2"/>
      <c r="B42" s="50" t="s">
        <v>14</v>
      </c>
      <c r="C42" s="50"/>
      <c r="D42" s="50"/>
      <c r="E42" s="51"/>
      <c r="F42" s="52" t="s">
        <v>0</v>
      </c>
      <c r="G42" s="53" t="s">
        <v>1</v>
      </c>
      <c r="H42" s="54" t="s">
        <v>15</v>
      </c>
      <c r="I42" s="40"/>
      <c r="J42" s="54" t="s">
        <v>16</v>
      </c>
      <c r="K42" s="55" t="s">
        <v>17</v>
      </c>
      <c r="L42" s="55"/>
      <c r="N42" s="56" t="s">
        <v>18</v>
      </c>
      <c r="O42" s="56"/>
      <c r="P42" s="57" t="n">
        <f aca="true">INDIRECT("ЗарплатаТурыМенеджер"&amp;A21)</f>
        <v>0</v>
      </c>
    </row>
    <row r="43" customFormat="false" ht="18" hidden="false" customHeight="true" outlineLevel="1" collapsed="false">
      <c r="A43" s="2"/>
      <c r="B43" s="43" t="n">
        <f aca="true">OFFSET(INDIRECT("ИндивидуальныеЗаданияМенеджер"&amp;A21),0,0)</f>
        <v>0</v>
      </c>
      <c r="C43" s="43"/>
      <c r="D43" s="43"/>
      <c r="E43" s="36"/>
      <c r="F43" s="58" t="n">
        <f aca="true">OFFSET(INDIRECT("ИндивидуальныеЗаданияМенеджер"&amp;A21),0,9)</f>
        <v>0</v>
      </c>
      <c r="G43" s="59" t="n">
        <f aca="true">OFFSET(INDIRECT("ИндивидуальныеЗаданияМенеджер"&amp;A21),0,11)</f>
        <v>0</v>
      </c>
      <c r="H43" s="60" t="n">
        <f aca="true">OFFSET(INDIRECT("ИндивидуальныеЗаданияМенеджер"&amp;A21),0,12)</f>
        <v>0</v>
      </c>
      <c r="I43" s="40"/>
      <c r="J43" s="61" t="n">
        <f aca="true">OFFSET(INDIRECT("ИндивидуальныеЗаданияМенеджер"&amp;A21),1,9)</f>
        <v>0</v>
      </c>
      <c r="K43" s="62" t="n">
        <f aca="true">OFFSET(INDIRECT("ИндивидуальныеЗаданияМенеджер"&amp;A21),0,13)</f>
        <v>0</v>
      </c>
      <c r="L43" s="62"/>
      <c r="N43" s="56" t="s">
        <v>19</v>
      </c>
      <c r="O43" s="56"/>
      <c r="P43" s="57" t="n">
        <f aca="true">INDIRECT("ЗарплатаДопыМенеджер"&amp;A21)</f>
        <v>0</v>
      </c>
    </row>
    <row r="44" customFormat="false" ht="18" hidden="false" customHeight="true" outlineLevel="1" collapsed="false">
      <c r="A44" s="2"/>
      <c r="B44" s="43" t="n">
        <f aca="true">OFFSET(INDIRECT("ИндивидуальныеЗаданияМенеджер"&amp;A21),2,0)</f>
        <v>0</v>
      </c>
      <c r="C44" s="43"/>
      <c r="D44" s="43"/>
      <c r="E44" s="63"/>
      <c r="F44" s="58" t="n">
        <f aca="true">OFFSET(INDIRECT("ИндивидуальныеЗаданияМенеджер"&amp;A21),2,9)</f>
        <v>0</v>
      </c>
      <c r="G44" s="59" t="n">
        <f aca="true">OFFSET(INDIRECT("ИндивидуальныеЗаданияМенеджер"&amp;A21),2,11)</f>
        <v>0</v>
      </c>
      <c r="H44" s="60" t="n">
        <f aca="true">OFFSET(INDIRECT("ИндивидуальныеЗаданияМенеджер"&amp;A21),2,12)</f>
        <v>0</v>
      </c>
      <c r="I44" s="40"/>
      <c r="J44" s="61" t="n">
        <f aca="true">OFFSET(INDIRECT("ИндивидуальныеЗаданияМенеджер"&amp;A21),3,9)</f>
        <v>0</v>
      </c>
      <c r="K44" s="62" t="n">
        <f aca="true">OFFSET(INDIRECT("ИндивидуальныеЗаданияМенеджер"&amp;A21),2,13)</f>
        <v>0</v>
      </c>
      <c r="L44" s="62"/>
      <c r="N44" s="56" t="s">
        <v>20</v>
      </c>
      <c r="O44" s="56"/>
      <c r="P44" s="57" t="n">
        <f aca="true">SUM(INDIRECT("ЗарплатаИзМенеджер"&amp;A21))</f>
        <v>0</v>
      </c>
    </row>
    <row r="45" customFormat="false" ht="18" hidden="false" customHeight="true" outlineLevel="1" collapsed="false">
      <c r="A45" s="2"/>
      <c r="B45" s="43" t="n">
        <f aca="true">OFFSET(INDIRECT("ИндивидуальныеЗаданияМенеджер"&amp;A21),4,0)</f>
        <v>0</v>
      </c>
      <c r="C45" s="43"/>
      <c r="D45" s="43"/>
      <c r="E45" s="63"/>
      <c r="F45" s="64" t="n">
        <f aca="true">OFFSET(INDIRECT("ИндивидуальныеЗаданияМенеджер"&amp;A21),4,9)</f>
        <v>0</v>
      </c>
      <c r="G45" s="60" t="n">
        <f aca="true">OFFSET(INDIRECT("ИндивидуальныеЗаданияМенеджер"&amp;A21),4,11)</f>
        <v>0</v>
      </c>
      <c r="H45" s="60" t="n">
        <f aca="true">OFFSET(INDIRECT("ИндивидуальныеЗаданияМенеджер"&amp;A21),4,12)</f>
        <v>0</v>
      </c>
      <c r="I45" s="40"/>
      <c r="J45" s="61" t="n">
        <f aca="true">OFFSET(INDIRECT("ИндивидуальныеЗаданияМенеджер"&amp;A21),5,9)</f>
        <v>0</v>
      </c>
      <c r="K45" s="62" t="n">
        <f aca="true">OFFSET(INDIRECT("ИндивидуальныеЗаданияМенеджер"&amp;A21),4,13)</f>
        <v>0</v>
      </c>
      <c r="L45" s="62"/>
      <c r="N45" s="56" t="s">
        <v>21</v>
      </c>
      <c r="O45" s="56"/>
      <c r="P45" s="57" t="n">
        <f aca="true">INDIRECT("ЗарплатаКармаМенеджер"&amp;A21)</f>
        <v>0</v>
      </c>
    </row>
    <row r="46" customFormat="false" ht="18" hidden="false" customHeight="true" outlineLevel="1" collapsed="false">
      <c r="A46" s="2"/>
      <c r="B46" s="43" t="n">
        <f aca="true">OFFSET(INDIRECT("ИндивидуальныеЗаданияМенеджер"&amp;A21),6,0)</f>
        <v>0</v>
      </c>
      <c r="C46" s="43"/>
      <c r="D46" s="43"/>
      <c r="E46" s="63"/>
      <c r="F46" s="64" t="n">
        <f aca="true">OFFSET(INDIRECT("ИндивидуальныеЗаданияМенеджер"&amp;A21),6,9)</f>
        <v>0</v>
      </c>
      <c r="G46" s="60" t="n">
        <f aca="true">OFFSET(INDIRECT("ИндивидуальныеЗаданияМенеджер"&amp;A21),6,11)</f>
        <v>0</v>
      </c>
      <c r="H46" s="60" t="n">
        <f aca="true">OFFSET(INDIRECT("ИндивидуальныеЗаданияМенеджер"&amp;A21),6,12)</f>
        <v>0</v>
      </c>
      <c r="I46" s="40"/>
      <c r="J46" s="61" t="n">
        <f aca="true">OFFSET(INDIRECT("ИндивидуальныеЗаданияМенеджер"&amp;A21),7,9)</f>
        <v>0</v>
      </c>
      <c r="K46" s="62" t="n">
        <f aca="true">OFFSET(INDIRECT("ИндивидуальныеЗаданияМенеджер"&amp;A21),6,13)</f>
        <v>0</v>
      </c>
      <c r="L46" s="62"/>
      <c r="N46" s="65" t="s">
        <v>22</v>
      </c>
      <c r="O46" s="65"/>
      <c r="P46" s="66" t="n">
        <f aca="true">INDIRECT("ЗарплатаОкладМенеджер"&amp;A21)</f>
        <v>0</v>
      </c>
    </row>
    <row r="47" customFormat="false" ht="18" hidden="false" customHeight="true" outlineLevel="1" collapsed="false">
      <c r="A47" s="2"/>
      <c r="B47" s="67" t="n">
        <f aca="true">OFFSET(INDIRECT("ИндивидуальныеЗаданияМенеджер"&amp;A21),8,0)</f>
        <v>0</v>
      </c>
      <c r="C47" s="67"/>
      <c r="D47" s="67"/>
      <c r="E47" s="46"/>
      <c r="F47" s="68" t="n">
        <f aca="true">OFFSET(INDIRECT("ИндивидуальныеЗаданияМенеджер"&amp;A21),8,9)</f>
        <v>0</v>
      </c>
      <c r="G47" s="69" t="n">
        <f aca="true">OFFSET(INDIRECT("ИндивидуальныеЗаданияМенеджер"&amp;A21),8,11)</f>
        <v>0</v>
      </c>
      <c r="H47" s="69" t="n">
        <f aca="true">OFFSET(INDIRECT("ИндивидуальныеЗаданияМенеджер"&amp;A21),8,12)</f>
        <v>0</v>
      </c>
      <c r="I47" s="47"/>
      <c r="J47" s="70" t="n">
        <f aca="true">OFFSET(INDIRECT("ИндивидуальныеЗаданияМенеджер"&amp;A21),9,9)</f>
        <v>0</v>
      </c>
      <c r="K47" s="71" t="n">
        <f aca="true">OFFSET(INDIRECT("ИндивидуальныеЗаданияМенеджер"&amp;A21),8,13)</f>
        <v>0</v>
      </c>
      <c r="L47" s="71"/>
      <c r="N47" s="72" t="s">
        <v>23</v>
      </c>
      <c r="O47" s="72"/>
      <c r="P47" s="73" t="n">
        <f aca="false">SUM(P42:P46)</f>
        <v>0</v>
      </c>
    </row>
    <row r="48" customFormat="false" ht="9.95" hidden="false" customHeight="true" outlineLevel="1" collapsed="false">
      <c r="A48" s="2"/>
      <c r="B48" s="74"/>
      <c r="C48" s="74"/>
      <c r="D48" s="75"/>
      <c r="E48" s="76"/>
      <c r="F48" s="77"/>
      <c r="G48" s="78"/>
      <c r="H48" s="79"/>
      <c r="I48" s="80"/>
      <c r="J48" s="81"/>
      <c r="K48" s="81"/>
      <c r="L48" s="82"/>
      <c r="N48" s="1"/>
      <c r="O48" s="1"/>
      <c r="P48" s="1"/>
    </row>
    <row r="49" s="1" customFormat="true" ht="15" hidden="false" customHeight="true" outlineLevel="0" collapsed="false">
      <c r="A49" s="2"/>
    </row>
    <row r="50" s="1" customFormat="true" ht="24.95" hidden="false" customHeight="true" outlineLevel="0" collapsed="false">
      <c r="A50" s="2" t="n">
        <f aca="false">A21+1</f>
        <v>2</v>
      </c>
      <c r="B50" s="19" t="str">
        <f aca="true">INDIRECT("Менеджер_"&amp;A50)</f>
        <v>Менеджер2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="1" customFormat="true" ht="15" hidden="false" customHeight="true" outlineLevel="0" collapsed="false">
      <c r="A51" s="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customFormat="false" ht="20.1" hidden="false" customHeight="true" outlineLevel="0" collapsed="false">
      <c r="A52" s="2"/>
      <c r="B52" s="5" t="str">
        <f aca="false">"План по турам на " &amp; current_month</f>
        <v>План по турам на </v>
      </c>
      <c r="C52" s="5"/>
      <c r="D52" s="5"/>
      <c r="E52" s="6"/>
      <c r="F52" s="7" t="str">
        <f aca="true">"План нарастающим итогом на "&amp;  DAY(TODAY()) &amp; "." &amp;  MONTH(TODAY())</f>
        <v>План нарастающим итогом на 23.8</v>
      </c>
      <c r="G52" s="7"/>
      <c r="H52" s="7"/>
      <c r="I52" s="6"/>
      <c r="J52" s="5" t="str">
        <f aca="false">"План по доп. услугам на " &amp; current_month</f>
        <v>План по доп. услугам на </v>
      </c>
      <c r="K52" s="5"/>
      <c r="L52" s="5"/>
      <c r="N52" s="7" t="str">
        <f aca="true">"План по допам нарастающим итогом на "&amp;  DAY(TODAY()) &amp; "." &amp;  MONTH(TODAY())</f>
        <v>План по допам нарастающим итогом на 23.8</v>
      </c>
      <c r="O52" s="7"/>
      <c r="P52" s="7"/>
    </row>
    <row r="53" customFormat="false" ht="20.1" hidden="false" customHeight="true" outlineLevel="0" collapsed="false">
      <c r="A53" s="2"/>
      <c r="B53" s="10" t="s">
        <v>0</v>
      </c>
      <c r="C53" s="10" t="s">
        <v>1</v>
      </c>
      <c r="D53" s="10" t="s">
        <v>2</v>
      </c>
      <c r="E53" s="11"/>
      <c r="F53" s="10" t="s">
        <v>0</v>
      </c>
      <c r="G53" s="10" t="s">
        <v>1</v>
      </c>
      <c r="H53" s="10" t="s">
        <v>3</v>
      </c>
      <c r="I53" s="11"/>
      <c r="J53" s="10" t="s">
        <v>0</v>
      </c>
      <c r="K53" s="10" t="s">
        <v>1</v>
      </c>
      <c r="L53" s="10" t="s">
        <v>3</v>
      </c>
      <c r="N53" s="10" t="s">
        <v>0</v>
      </c>
      <c r="O53" s="10" t="s">
        <v>1</v>
      </c>
      <c r="P53" s="10" t="s">
        <v>2</v>
      </c>
    </row>
    <row r="54" customFormat="false" ht="50.1" hidden="false" customHeight="true" outlineLevel="0" collapsed="false">
      <c r="A54" s="2"/>
      <c r="B54" s="21" t="n">
        <f aca="true">INDIRECT("ЦельТурыМенеджер"&amp;A50)</f>
        <v>0</v>
      </c>
      <c r="C54" s="21" t="n">
        <f aca="true">INDIRECT("ФактТурыМенеджер"&amp;A50)</f>
        <v>0</v>
      </c>
      <c r="D54" s="22" t="n">
        <f aca="false">IFERROR(C54/B54,0)</f>
        <v>0</v>
      </c>
      <c r="E54" s="23"/>
      <c r="F54" s="21" t="e">
        <f aca="false">B54*НарастающийИтогДоля</f>
        <v>#N/A</v>
      </c>
      <c r="G54" s="21" t="n">
        <f aca="false">C54</f>
        <v>0</v>
      </c>
      <c r="H54" s="22" t="n">
        <f aca="false">IFERROR(G54/F54,0)</f>
        <v>0</v>
      </c>
      <c r="I54" s="23"/>
      <c r="J54" s="21" t="n">
        <f aca="true">INDIRECT("ЦельДопыМенеджер"&amp;A50)</f>
        <v>0</v>
      </c>
      <c r="K54" s="21" t="n">
        <f aca="true">INDIRECT("ФактДопыМенеджер"&amp;A50)</f>
        <v>0</v>
      </c>
      <c r="L54" s="22" t="n">
        <f aca="false">IFERROR(K54/J54,0)</f>
        <v>0</v>
      </c>
      <c r="N54" s="13" t="n">
        <f aca="false">IFERROR(J54*НарастающийИтогДоля,0)</f>
        <v>0</v>
      </c>
      <c r="O54" s="13" t="n">
        <f aca="false">K54</f>
        <v>0</v>
      </c>
      <c r="P54" s="22" t="n">
        <f aca="false">IFERROR(O54/N54,0)</f>
        <v>0</v>
      </c>
    </row>
    <row r="55" s="1" customFormat="true" ht="9.95" hidden="false" customHeight="true" outlineLevel="0" collapsed="false">
      <c r="A55" s="2"/>
      <c r="N55" s="17"/>
    </row>
    <row r="56" customFormat="false" ht="20.1" hidden="false" customHeight="true" outlineLevel="1" collapsed="false">
      <c r="A56" s="2"/>
      <c r="B56" s="24" t="s">
        <v>4</v>
      </c>
      <c r="C56" s="25"/>
      <c r="D56" s="26" t="str">
        <f aca="true">IF(C54&gt;=INDIRECT("ЗарплатаТурыМега"&amp;A50),"---",IF(0,0,INDEX(INDIRECT("ЗарплатаТурыВсе"&amp;A50),IFERROR(MATCH(C54,INDIRECT("ЗарплатаТурыВсе"&amp;A50),1),0)+1)-C54))</f>
        <v>---</v>
      </c>
      <c r="F56" s="27" t="e">
        <f aca="false">IF(G54&gt;=F54*1.1,"Пока идем с перевыполнением,",IF(G54&gt;=F54*0.9,"Пока мы в плане,","Пока мы отстаем от плана,"))</f>
        <v>#N/A</v>
      </c>
      <c r="G56" s="1"/>
      <c r="H56" s="1"/>
      <c r="J56" s="24" t="s">
        <v>4</v>
      </c>
      <c r="K56" s="25"/>
      <c r="L56" s="28" t="str">
        <f aca="true">IF(O54&gt;=INDIRECT("ЗарплатаДопыМега"&amp;A50),"---",IF(0,0,INDEX(INDIRECT("ЗарплатаДопыВсе"&amp;A50),IFERROR(MATCH(O54,INDIRECT("ЗарплатаДопыВсе"&amp;A50),1),0)+1)-O54))</f>
        <v>---</v>
      </c>
      <c r="N56" s="27" t="str">
        <f aca="false">IF(O54&gt;=N54*1.1,"Пока идем с перевыполнением,",IF(O54&gt;=N54*0.9,"Пока мы в плане,","Пока мы отстаем от плана,"))</f>
        <v>Пока идем с перевыполнением,</v>
      </c>
      <c r="O56" s="1"/>
      <c r="P56" s="1"/>
    </row>
    <row r="57" customFormat="false" ht="20.1" hidden="false" customHeight="true" outlineLevel="1" collapsed="false">
      <c r="A57" s="2"/>
      <c r="B57" s="24" t="s">
        <v>5</v>
      </c>
      <c r="C57" s="25"/>
      <c r="D57" s="29" t="str">
        <f aca="true">IF(C54&gt;=INDIRECT("ЗарплатаТурыМега"&amp;A50),"---",IF(0,0,CHOOSE(IFERROR(MATCH(C54,INDIRECT("ЗарплатаТурыВсе"&amp;A50),1),0)+1,"I","II","III","Цель","Цель+","Цель++","МегаЦель")))</f>
        <v>---</v>
      </c>
      <c r="F57" s="30" t="e">
        <f aca="false">IF(G54&gt;=F54*1.1,"отличный результат!",IF(G54&gt;=F54*0.9,"хороший результат.","надо нагонять."))</f>
        <v>#N/A</v>
      </c>
      <c r="G57" s="1"/>
      <c r="H57" s="1"/>
      <c r="J57" s="24" t="s">
        <v>5</v>
      </c>
      <c r="K57" s="25"/>
      <c r="L57" s="31" t="str">
        <f aca="true">IF(O54&gt;=INDIRECT("ЗарплатаДопыМега"&amp;A50),"---",IF(0,0,CHOOSE(IFERROR(MATCH(O54,INDIRECT("ЗарплатаДопыВсе"&amp;A50),1),0)+1,"I","II","III","Цель","Цель+","Цель++","МегаЦель")))</f>
        <v>---</v>
      </c>
      <c r="N57" s="30" t="str">
        <f aca="false">IF(O54&gt;=N54*1.1,"отличный результат!",IF(O54&gt;=N54*0.9,"хороший результат.","надо нагонять."))</f>
        <v>отличный результат!</v>
      </c>
    </row>
    <row r="58" customFormat="false" ht="20.1" hidden="false" customHeight="true" outlineLevel="1" collapsed="false">
      <c r="A58" s="2"/>
      <c r="B58" s="25" t="s">
        <v>6</v>
      </c>
      <c r="C58" s="25"/>
      <c r="D58" s="32" t="str">
        <f aca="true">IF(C54&gt;=INDIRECT("ЗарплатаТурыМега"&amp;A50),"---",IF(0,0,INDEX(INDIRECT("БонусыТурыВсе"&amp;A50),IFERROR(MATCH(C54,INDIRECT("ЗарплатаТурыВсе"&amp;A50),1),0)+1)))</f>
        <v>---</v>
      </c>
      <c r="F58" s="30" t="e">
        <f aca="false">IF(G54&gt;=F54*1.1,"Продолжай в том же духе.",IF(G54&gt;=F54*0.9,"Но расслабляться рано!","Позвони клиентам!"))</f>
        <v>#N/A</v>
      </c>
      <c r="G58" s="1"/>
      <c r="H58" s="1"/>
      <c r="J58" s="25" t="s">
        <v>6</v>
      </c>
      <c r="K58" s="25"/>
      <c r="L58" s="33" t="str">
        <f aca="true">IF(O54&gt;=INDIRECT("ЗарплатаДопыМега"&amp;A50),"---",IF(0,0,INDEX(INDIRECT("БонусыДопыВсе"&amp;A50),IFERROR(MATCH(O54,INDIRECT("ЗарплатаДопыВсе"&amp;A50),1),0)+1)))</f>
        <v>---</v>
      </c>
      <c r="N58" s="30" t="str">
        <f aca="false">IF(O54&gt;=N54*1.1,"Продолжай в том же духе.",IF(O54&gt;=N54*0.9,"Но расслабляться рано!","Позвони клиентам!"))</f>
        <v>Продолжай в том же духе.</v>
      </c>
    </row>
    <row r="59" s="1" customFormat="true" ht="9.95" hidden="false" customHeight="true" outlineLevel="1" collapsed="false">
      <c r="A59" s="2"/>
    </row>
    <row r="60" s="1" customFormat="true" ht="18" hidden="false" customHeight="true" outlineLevel="1" collapsed="false">
      <c r="A60" s="2"/>
      <c r="B60" s="34" t="s">
        <v>7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="1" customFormat="true" ht="18" hidden="false" customHeight="true" outlineLevel="1" collapsed="false">
      <c r="A61" s="2"/>
      <c r="B61" s="35" t="s">
        <v>8</v>
      </c>
      <c r="C61" s="35"/>
      <c r="D61" s="35"/>
      <c r="E61" s="36"/>
      <c r="F61" s="37" t="s">
        <v>9</v>
      </c>
      <c r="G61" s="38" t="s">
        <v>10</v>
      </c>
      <c r="H61" s="39" t="s">
        <v>11</v>
      </c>
      <c r="I61" s="40"/>
      <c r="J61" s="41" t="s">
        <v>12</v>
      </c>
      <c r="K61" s="41"/>
      <c r="L61" s="41"/>
      <c r="M61" s="36"/>
      <c r="N61" s="38" t="s">
        <v>9</v>
      </c>
      <c r="O61" s="38" t="s">
        <v>10</v>
      </c>
      <c r="P61" s="42" t="s">
        <v>11</v>
      </c>
    </row>
    <row r="62" s="1" customFormat="true" ht="18" hidden="false" customHeight="true" outlineLevel="1" collapsed="false">
      <c r="A62" s="2"/>
      <c r="B62" s="43" t="str">
        <f aca="false">Настройки!$N$5</f>
        <v>Нашел ошибку или внес конструктивную идею по доработке сайта</v>
      </c>
      <c r="C62" s="43"/>
      <c r="D62" s="43"/>
      <c r="E62" s="36"/>
      <c r="F62" s="44" t="n">
        <f aca="true">OFFSET(INDIRECT("ХорошиеДелаМенеджер"&amp;A50),0,0)</f>
        <v>0</v>
      </c>
      <c r="G62" s="44" t="n">
        <f aca="false">Настройки!$O$5</f>
        <v>100</v>
      </c>
      <c r="H62" s="44" t="n">
        <f aca="false">F62*G62</f>
        <v>0</v>
      </c>
      <c r="I62" s="40"/>
      <c r="J62" s="45" t="str">
        <f aca="false">Настройки!$K$5</f>
        <v>Опоздал на работу</v>
      </c>
      <c r="K62" s="45"/>
      <c r="L62" s="45"/>
      <c r="M62" s="36"/>
      <c r="N62" s="44" t="n">
        <f aca="true">OFFSET(INDIRECT("ПлохиеДелаМенеджер"&amp;A50),0,0)</f>
        <v>0</v>
      </c>
      <c r="O62" s="44" t="n">
        <f aca="false">Настройки!$L$5</f>
        <v>250</v>
      </c>
      <c r="P62" s="44" t="n">
        <f aca="false">N62*O62</f>
        <v>0</v>
      </c>
    </row>
    <row r="63" s="1" customFormat="true" ht="18" hidden="false" customHeight="true" outlineLevel="1" collapsed="false">
      <c r="A63" s="2"/>
      <c r="B63" s="43" t="str">
        <f aca="false">Настройки!$N$6</f>
        <v>Добавил новую информацию на сайт или обновил существующую</v>
      </c>
      <c r="C63" s="43"/>
      <c r="D63" s="43"/>
      <c r="E63" s="36"/>
      <c r="F63" s="44" t="n">
        <f aca="true">OFFSET(INDIRECT("ХорошиеДелаМенеджер"&amp;A50),1,0)</f>
        <v>0</v>
      </c>
      <c r="G63" s="44" t="n">
        <f aca="false">Настройки!$O$6</f>
        <v>300</v>
      </c>
      <c r="H63" s="44" t="n">
        <f aca="false">F63*G63</f>
        <v>0</v>
      </c>
      <c r="I63" s="40"/>
      <c r="J63" s="45" t="str">
        <f aca="false">Настройки!$K$6</f>
        <v>Опоздал на работу не предупредив об этом по телефону</v>
      </c>
      <c r="K63" s="45"/>
      <c r="L63" s="45"/>
      <c r="M63" s="36"/>
      <c r="N63" s="44" t="n">
        <f aca="true">OFFSET(INDIRECT("ПлохиеДелаМенеджер"&amp;A50),1,0)</f>
        <v>0</v>
      </c>
      <c r="O63" s="44" t="n">
        <f aca="false">Настройки!$L$6</f>
        <v>300</v>
      </c>
      <c r="P63" s="44" t="n">
        <f aca="false">N63*O63</f>
        <v>0</v>
      </c>
    </row>
    <row r="64" s="1" customFormat="true" ht="18" hidden="false" customHeight="true" outlineLevel="1" collapsed="false">
      <c r="A64" s="2"/>
      <c r="B64" s="43" t="str">
        <f aca="false">Настройки!$N$7</f>
        <v>Взял отзыв у клиента или рекомендацию у клиента</v>
      </c>
      <c r="C64" s="43"/>
      <c r="D64" s="43"/>
      <c r="E64" s="36"/>
      <c r="F64" s="44" t="n">
        <f aca="true">OFFSET(INDIRECT("ХорошиеДелаМенеджер"&amp;A50),2,0)</f>
        <v>0</v>
      </c>
      <c r="G64" s="44" t="n">
        <f aca="false">Настройки!$O$7</f>
        <v>300</v>
      </c>
      <c r="H64" s="44" t="n">
        <f aca="false">F64*G64</f>
        <v>0</v>
      </c>
      <c r="I64" s="40"/>
      <c r="J64" s="45" t="str">
        <f aca="false">Настройки!$K$7</f>
        <v>Негативный отзыв клиента о работе менеджера</v>
      </c>
      <c r="K64" s="45"/>
      <c r="L64" s="45"/>
      <c r="M64" s="36"/>
      <c r="N64" s="44" t="n">
        <f aca="true">OFFSET(INDIRECT("ПлохиеДелаМенеджер"&amp;A50),2,0)</f>
        <v>0</v>
      </c>
      <c r="O64" s="44" t="n">
        <f aca="false">Настройки!$L$7</f>
        <v>400</v>
      </c>
      <c r="P64" s="44" t="n">
        <f aca="false">N64*O64</f>
        <v>0</v>
      </c>
    </row>
    <row r="65" s="1" customFormat="true" ht="18" hidden="false" customHeight="true" outlineLevel="1" collapsed="false">
      <c r="A65" s="2"/>
      <c r="B65" s="43" t="str">
        <f aca="false">Настройки!$N$8</f>
        <v>Выход на работу в выходной или праздничный день</v>
      </c>
      <c r="C65" s="43"/>
      <c r="D65" s="43"/>
      <c r="E65" s="36"/>
      <c r="F65" s="44" t="n">
        <f aca="true">OFFSET(INDIRECT("ХорошиеДелаМенеджер"&amp;A50),3,0)</f>
        <v>0</v>
      </c>
      <c r="G65" s="44" t="n">
        <f aca="false">Настройки!$O$8</f>
        <v>500</v>
      </c>
      <c r="H65" s="44" t="n">
        <f aca="false">F65*G65</f>
        <v>0</v>
      </c>
      <c r="I65" s="40"/>
      <c r="J65" s="45" t="str">
        <f aca="false">Настройки!$K$8</f>
        <v>Допущенна ошибка в договоре с туристом</v>
      </c>
      <c r="K65" s="45"/>
      <c r="L65" s="45"/>
      <c r="M65" s="36"/>
      <c r="N65" s="44" t="n">
        <f aca="true">OFFSET(INDIRECT("ПлохиеДелаМенеджер"&amp;A50),3,0)</f>
        <v>0</v>
      </c>
      <c r="O65" s="44" t="n">
        <f aca="false">Настройки!$L$8</f>
        <v>500</v>
      </c>
      <c r="P65" s="44" t="n">
        <f aca="false">N65*O65</f>
        <v>0</v>
      </c>
    </row>
    <row r="66" s="1" customFormat="true" ht="18" hidden="false" customHeight="true" outlineLevel="1" collapsed="false">
      <c r="A66" s="2"/>
      <c r="B66" s="43" t="str">
        <f aca="false">Настройки!$N$9</f>
        <v>Заполнение полной информации об отеле в таблице отелей</v>
      </c>
      <c r="C66" s="43"/>
      <c r="D66" s="43"/>
      <c r="E66" s="36"/>
      <c r="F66" s="44" t="n">
        <f aca="true">OFFSET(INDIRECT("ХорошиеДелаМенеджер"&amp;A50),4,0)</f>
        <v>0</v>
      </c>
      <c r="G66" s="44" t="n">
        <f aca="false">Настройки!$O$9</f>
        <v>100</v>
      </c>
      <c r="H66" s="44" t="n">
        <f aca="false">F66*G66</f>
        <v>0</v>
      </c>
      <c r="I66" s="40"/>
      <c r="J66" s="45" t="str">
        <f aca="false">Настройки!$K$9</f>
        <v>Не внесена информация о взаимодействии с клиентом в CRM</v>
      </c>
      <c r="K66" s="45"/>
      <c r="L66" s="45"/>
      <c r="M66" s="36"/>
      <c r="N66" s="44" t="n">
        <f aca="true">OFFSET(INDIRECT("ПлохиеДелаМенеджер"&amp;A50),4,0)</f>
        <v>0</v>
      </c>
      <c r="O66" s="44" t="n">
        <f aca="false">Настройки!$L$9</f>
        <v>250</v>
      </c>
      <c r="P66" s="44" t="n">
        <f aca="false">N66*O66</f>
        <v>0</v>
      </c>
    </row>
    <row r="67" s="1" customFormat="true" ht="18" hidden="false" customHeight="true" outlineLevel="1" collapsed="false">
      <c r="A67" s="2"/>
      <c r="B67" s="43" t="str">
        <f aca="false">Настройки!$N$10</f>
        <v>Подготовил презентацию или доклад по направлению</v>
      </c>
      <c r="C67" s="43"/>
      <c r="D67" s="43"/>
      <c r="E67" s="36"/>
      <c r="F67" s="44" t="n">
        <f aca="true">OFFSET(INDIRECT("ХорошиеДелаМенеджер"&amp;A50),5,0)</f>
        <v>0</v>
      </c>
      <c r="G67" s="44" t="n">
        <f aca="false">Настройки!$O$10</f>
        <v>300</v>
      </c>
      <c r="H67" s="44" t="n">
        <f aca="false">F67*G67</f>
        <v>0</v>
      </c>
      <c r="I67" s="40"/>
      <c r="J67" s="45" t="str">
        <f aca="false">Настройки!$K$10</f>
        <v>Не знание рекламных акций турагентства</v>
      </c>
      <c r="K67" s="45"/>
      <c r="L67" s="45"/>
      <c r="M67" s="36"/>
      <c r="N67" s="44" t="n">
        <f aca="true">OFFSET(INDIRECT("ПлохиеДелаМенеджер"&amp;A50),5,0)</f>
        <v>0</v>
      </c>
      <c r="O67" s="44" t="n">
        <f aca="false">Настройки!$L$10</f>
        <v>250</v>
      </c>
      <c r="P67" s="44" t="n">
        <f aca="false">N67*O67</f>
        <v>0</v>
      </c>
    </row>
    <row r="68" s="1" customFormat="true" ht="18" hidden="false" customHeight="true" outlineLevel="1" collapsed="false">
      <c r="A68" s="2"/>
      <c r="B68" s="43" t="str">
        <f aca="false">Настройки!$N$11</f>
        <v>Подготовил выпуск рассылки</v>
      </c>
      <c r="C68" s="43"/>
      <c r="D68" s="43"/>
      <c r="E68" s="46"/>
      <c r="F68" s="44" t="n">
        <f aca="true">OFFSET(INDIRECT("ХорошиеДелаМенеджер"&amp;A50),6,0)</f>
        <v>0</v>
      </c>
      <c r="G68" s="44" t="n">
        <f aca="false">Настройки!$O$11</f>
        <v>500</v>
      </c>
      <c r="H68" s="44" t="n">
        <f aca="false">F68*G68</f>
        <v>0</v>
      </c>
      <c r="I68" s="47"/>
      <c r="J68" s="45" t="str">
        <f aca="false">Настройки!$K$11</f>
        <v>В CRM указан не корректный источник рекламы</v>
      </c>
      <c r="K68" s="45"/>
      <c r="L68" s="45"/>
      <c r="M68" s="46"/>
      <c r="N68" s="44" t="n">
        <f aca="true">OFFSET(INDIRECT("ПлохиеДелаМенеджер"&amp;A50),6,0)</f>
        <v>0</v>
      </c>
      <c r="O68" s="44" t="n">
        <f aca="false">Настройки!$L$11</f>
        <v>250</v>
      </c>
      <c r="P68" s="44" t="n">
        <f aca="false">N68*O68</f>
        <v>0</v>
      </c>
    </row>
    <row r="69" s="1" customFormat="true" ht="9.95" hidden="false" customHeight="true" outlineLevel="1" collapsed="false">
      <c r="A69" s="2"/>
    </row>
    <row r="70" customFormat="false" ht="18.75" hidden="false" customHeight="false" outlineLevel="1" collapsed="false">
      <c r="A70" s="2"/>
      <c r="B70" s="48" t="s">
        <v>13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N70" s="49" t="str">
        <f aca="true">"Моя зарплата на " &amp;   DAY(TODAY()) &amp; "." &amp;  MONTH(TODAY())</f>
        <v>Моя зарплата на 23.8</v>
      </c>
      <c r="O70" s="49"/>
      <c r="P70" s="49"/>
    </row>
    <row r="71" customFormat="false" ht="18" hidden="false" customHeight="true" outlineLevel="1" collapsed="false">
      <c r="A71" s="2"/>
      <c r="B71" s="50" t="s">
        <v>14</v>
      </c>
      <c r="C71" s="50"/>
      <c r="D71" s="50"/>
      <c r="E71" s="51"/>
      <c r="F71" s="52" t="s">
        <v>0</v>
      </c>
      <c r="G71" s="53" t="s">
        <v>1</v>
      </c>
      <c r="H71" s="54" t="s">
        <v>15</v>
      </c>
      <c r="I71" s="40"/>
      <c r="J71" s="54" t="s">
        <v>16</v>
      </c>
      <c r="K71" s="55" t="s">
        <v>17</v>
      </c>
      <c r="L71" s="55"/>
      <c r="N71" s="56" t="s">
        <v>18</v>
      </c>
      <c r="O71" s="56"/>
      <c r="P71" s="57" t="n">
        <f aca="true">INDIRECT("ЗарплатаТурыМенеджер"&amp;A50)</f>
        <v>0</v>
      </c>
    </row>
    <row r="72" customFormat="false" ht="18" hidden="false" customHeight="true" outlineLevel="1" collapsed="false">
      <c r="A72" s="2"/>
      <c r="B72" s="43" t="n">
        <f aca="true">OFFSET(INDIRECT("ИндивидуальныеЗаданияМенеджер"&amp;A50),0,0)</f>
        <v>0</v>
      </c>
      <c r="C72" s="43"/>
      <c r="D72" s="43"/>
      <c r="E72" s="36"/>
      <c r="F72" s="58" t="n">
        <f aca="true">OFFSET(INDIRECT("ИндивидуальныеЗаданияМенеджер"&amp;A50),0,9)</f>
        <v>0</v>
      </c>
      <c r="G72" s="59" t="n">
        <f aca="true">OFFSET(INDIRECT("ИндивидуальныеЗаданияМенеджер"&amp;A50),0,11)</f>
        <v>0</v>
      </c>
      <c r="H72" s="60" t="n">
        <f aca="true">OFFSET(INDIRECT("ИндивидуальныеЗаданияМенеджер"&amp;A50),0,12)</f>
        <v>0</v>
      </c>
      <c r="I72" s="40"/>
      <c r="J72" s="61" t="n">
        <f aca="true">OFFSET(INDIRECT("ИндивидуальныеЗаданияМенеджер"&amp;A50),1,9)</f>
        <v>0</v>
      </c>
      <c r="K72" s="62" t="n">
        <f aca="true">OFFSET(INDIRECT("ИндивидуальныеЗаданияМенеджер"&amp;A50),0,13)</f>
        <v>0</v>
      </c>
      <c r="L72" s="62"/>
      <c r="N72" s="56" t="s">
        <v>19</v>
      </c>
      <c r="O72" s="56"/>
      <c r="P72" s="57" t="n">
        <f aca="true">INDIRECT("ЗарплатаДопыМенеджер"&amp;A50)</f>
        <v>0</v>
      </c>
    </row>
    <row r="73" customFormat="false" ht="18" hidden="false" customHeight="true" outlineLevel="1" collapsed="false">
      <c r="A73" s="2"/>
      <c r="B73" s="43" t="n">
        <f aca="true">OFFSET(INDIRECT("ИндивидуальныеЗаданияМенеджер"&amp;A50),2,0)</f>
        <v>0</v>
      </c>
      <c r="C73" s="43"/>
      <c r="D73" s="43"/>
      <c r="E73" s="63"/>
      <c r="F73" s="58" t="n">
        <f aca="true">OFFSET(INDIRECT("ИндивидуальныеЗаданияМенеджер"&amp;A50),2,9)</f>
        <v>0</v>
      </c>
      <c r="G73" s="59" t="n">
        <f aca="true">OFFSET(INDIRECT("ИндивидуальныеЗаданияМенеджер"&amp;A50),2,11)</f>
        <v>0</v>
      </c>
      <c r="H73" s="60" t="n">
        <f aca="true">OFFSET(INDIRECT("ИндивидуальныеЗаданияМенеджер"&amp;A50),2,12)</f>
        <v>0</v>
      </c>
      <c r="I73" s="40"/>
      <c r="J73" s="61" t="n">
        <f aca="true">OFFSET(INDIRECT("ИндивидуальныеЗаданияМенеджер"&amp;A50),3,9)</f>
        <v>0</v>
      </c>
      <c r="K73" s="62" t="n">
        <f aca="true">OFFSET(INDIRECT("ИндивидуальныеЗаданияМенеджер"&amp;A50),2,13)</f>
        <v>0</v>
      </c>
      <c r="L73" s="62"/>
      <c r="N73" s="56" t="s">
        <v>20</v>
      </c>
      <c r="O73" s="56"/>
      <c r="P73" s="57" t="n">
        <f aca="true">SUM(INDIRECT("ЗарплатаИзМенеджер"&amp;A50))</f>
        <v>0</v>
      </c>
    </row>
    <row r="74" customFormat="false" ht="18" hidden="false" customHeight="true" outlineLevel="1" collapsed="false">
      <c r="A74" s="2"/>
      <c r="B74" s="43" t="n">
        <f aca="true">OFFSET(INDIRECT("ИндивидуальныеЗаданияМенеджер"&amp;A50),4,0)</f>
        <v>0</v>
      </c>
      <c r="C74" s="43"/>
      <c r="D74" s="43"/>
      <c r="E74" s="63"/>
      <c r="F74" s="64" t="n">
        <f aca="true">OFFSET(INDIRECT("ИндивидуальныеЗаданияМенеджер"&amp;A50),4,9)</f>
        <v>0</v>
      </c>
      <c r="G74" s="60" t="n">
        <f aca="true">OFFSET(INDIRECT("ИндивидуальныеЗаданияМенеджер"&amp;A50),4,11)</f>
        <v>0</v>
      </c>
      <c r="H74" s="60" t="n">
        <f aca="true">OFFSET(INDIRECT("ИндивидуальныеЗаданияМенеджер"&amp;A50),4,12)</f>
        <v>0</v>
      </c>
      <c r="I74" s="40"/>
      <c r="J74" s="61" t="n">
        <f aca="true">OFFSET(INDIRECT("ИндивидуальныеЗаданияМенеджер"&amp;A50),5,9)</f>
        <v>0</v>
      </c>
      <c r="K74" s="62" t="n">
        <f aca="true">OFFSET(INDIRECT("ИндивидуальныеЗаданияМенеджер"&amp;A50),4,13)</f>
        <v>0</v>
      </c>
      <c r="L74" s="62"/>
      <c r="N74" s="56" t="s">
        <v>21</v>
      </c>
      <c r="O74" s="56"/>
      <c r="P74" s="57" t="n">
        <f aca="true">INDIRECT("ЗарплатаКармаМенеджер"&amp;A50)</f>
        <v>0</v>
      </c>
    </row>
    <row r="75" customFormat="false" ht="18" hidden="false" customHeight="true" outlineLevel="1" collapsed="false">
      <c r="A75" s="2"/>
      <c r="B75" s="43" t="n">
        <f aca="true">OFFSET(INDIRECT("ИндивидуальныеЗаданияМенеджер"&amp;A50),6,0)</f>
        <v>0</v>
      </c>
      <c r="C75" s="43"/>
      <c r="D75" s="43"/>
      <c r="E75" s="63"/>
      <c r="F75" s="64" t="n">
        <f aca="true">OFFSET(INDIRECT("ИндивидуальныеЗаданияМенеджер"&amp;A50),6,9)</f>
        <v>0</v>
      </c>
      <c r="G75" s="60" t="n">
        <f aca="true">OFFSET(INDIRECT("ИндивидуальныеЗаданияМенеджер"&amp;A50),6,11)</f>
        <v>0</v>
      </c>
      <c r="H75" s="60" t="n">
        <f aca="true">OFFSET(INDIRECT("ИндивидуальныеЗаданияМенеджер"&amp;A50),6,12)</f>
        <v>0</v>
      </c>
      <c r="I75" s="40"/>
      <c r="J75" s="61" t="n">
        <f aca="true">OFFSET(INDIRECT("ИндивидуальныеЗаданияМенеджер"&amp;A50),7,9)</f>
        <v>0</v>
      </c>
      <c r="K75" s="62" t="n">
        <f aca="true">OFFSET(INDIRECT("ИндивидуальныеЗаданияМенеджер"&amp;A50),6,13)</f>
        <v>0</v>
      </c>
      <c r="L75" s="62"/>
      <c r="N75" s="65" t="s">
        <v>22</v>
      </c>
      <c r="O75" s="65"/>
      <c r="P75" s="66" t="n">
        <f aca="true">INDIRECT("ЗарплатаОкладМенеджер"&amp;A50)</f>
        <v>0</v>
      </c>
    </row>
    <row r="76" customFormat="false" ht="18" hidden="false" customHeight="true" outlineLevel="1" collapsed="false">
      <c r="A76" s="2"/>
      <c r="B76" s="67" t="n">
        <f aca="true">OFFSET(INDIRECT("ИндивидуальныеЗаданияМенеджер"&amp;A50),8,0)</f>
        <v>0</v>
      </c>
      <c r="C76" s="67"/>
      <c r="D76" s="67"/>
      <c r="E76" s="46"/>
      <c r="F76" s="68" t="n">
        <f aca="true">OFFSET(INDIRECT("ИндивидуальныеЗаданияМенеджер"&amp;A50),8,9)</f>
        <v>0</v>
      </c>
      <c r="G76" s="69" t="n">
        <f aca="true">OFFSET(INDIRECT("ИндивидуальныеЗаданияМенеджер"&amp;A50),8,11)</f>
        <v>0</v>
      </c>
      <c r="H76" s="69" t="n">
        <f aca="true">OFFSET(INDIRECT("ИндивидуальныеЗаданияМенеджер"&amp;A50),8,12)</f>
        <v>0</v>
      </c>
      <c r="I76" s="47"/>
      <c r="J76" s="70" t="n">
        <f aca="true">OFFSET(INDIRECT("ИндивидуальныеЗаданияМенеджер"&amp;A50),9,9)</f>
        <v>0</v>
      </c>
      <c r="K76" s="71" t="n">
        <f aca="true">OFFSET(INDIRECT("ИндивидуальныеЗаданияМенеджер"&amp;A50),8,13)</f>
        <v>0</v>
      </c>
      <c r="L76" s="71"/>
      <c r="N76" s="72" t="s">
        <v>23</v>
      </c>
      <c r="O76" s="72"/>
      <c r="P76" s="73" t="n">
        <f aca="false">SUM(P71:P75)</f>
        <v>0</v>
      </c>
    </row>
    <row r="77" customFormat="false" ht="9.95" hidden="false" customHeight="true" outlineLevel="1" collapsed="false">
      <c r="A77" s="2"/>
      <c r="B77" s="74"/>
      <c r="C77" s="74"/>
      <c r="D77" s="75"/>
      <c r="E77" s="76"/>
      <c r="F77" s="77"/>
      <c r="G77" s="78"/>
      <c r="H77" s="79"/>
      <c r="I77" s="80"/>
      <c r="J77" s="81"/>
      <c r="K77" s="81"/>
      <c r="L77" s="82"/>
      <c r="N77" s="1"/>
      <c r="O77" s="1"/>
      <c r="P77" s="1"/>
    </row>
  </sheetData>
  <mergeCells count="89">
    <mergeCell ref="B2:P2"/>
    <mergeCell ref="B4:D4"/>
    <mergeCell ref="F4:H4"/>
    <mergeCell ref="J4:L4"/>
    <mergeCell ref="N4:P4"/>
    <mergeCell ref="B21:P21"/>
    <mergeCell ref="B23:D23"/>
    <mergeCell ref="F23:H23"/>
    <mergeCell ref="J23:L23"/>
    <mergeCell ref="N23:P23"/>
    <mergeCell ref="B31:P31"/>
    <mergeCell ref="B32:D32"/>
    <mergeCell ref="J32:L32"/>
    <mergeCell ref="B33:D33"/>
    <mergeCell ref="J33:L33"/>
    <mergeCell ref="B34:D34"/>
    <mergeCell ref="J34:L34"/>
    <mergeCell ref="B35:D35"/>
    <mergeCell ref="J35:L35"/>
    <mergeCell ref="B36:D36"/>
    <mergeCell ref="J36:L36"/>
    <mergeCell ref="B37:D37"/>
    <mergeCell ref="J37:L37"/>
    <mergeCell ref="B38:D38"/>
    <mergeCell ref="J38:L38"/>
    <mergeCell ref="B39:D39"/>
    <mergeCell ref="J39:L39"/>
    <mergeCell ref="B41:L41"/>
    <mergeCell ref="N41:P41"/>
    <mergeCell ref="B42:D42"/>
    <mergeCell ref="K42:L42"/>
    <mergeCell ref="N42:O42"/>
    <mergeCell ref="B43:D43"/>
    <mergeCell ref="K43:L43"/>
    <mergeCell ref="N43:O43"/>
    <mergeCell ref="B44:D44"/>
    <mergeCell ref="K44:L44"/>
    <mergeCell ref="N44:O44"/>
    <mergeCell ref="B45:D45"/>
    <mergeCell ref="K45:L45"/>
    <mergeCell ref="N45:O45"/>
    <mergeCell ref="B46:D46"/>
    <mergeCell ref="K46:L46"/>
    <mergeCell ref="N46:O46"/>
    <mergeCell ref="B47:D47"/>
    <mergeCell ref="K47:L47"/>
    <mergeCell ref="N47:O47"/>
    <mergeCell ref="B50:P50"/>
    <mergeCell ref="B52:D52"/>
    <mergeCell ref="F52:H52"/>
    <mergeCell ref="J52:L52"/>
    <mergeCell ref="N52:P52"/>
    <mergeCell ref="B60:P60"/>
    <mergeCell ref="B61:D61"/>
    <mergeCell ref="J61:L61"/>
    <mergeCell ref="B62:D62"/>
    <mergeCell ref="J62:L62"/>
    <mergeCell ref="B63:D63"/>
    <mergeCell ref="J63:L63"/>
    <mergeCell ref="B64:D64"/>
    <mergeCell ref="J64:L64"/>
    <mergeCell ref="B65:D65"/>
    <mergeCell ref="J65:L65"/>
    <mergeCell ref="B66:D66"/>
    <mergeCell ref="J66:L66"/>
    <mergeCell ref="B67:D67"/>
    <mergeCell ref="J67:L67"/>
    <mergeCell ref="B68:D68"/>
    <mergeCell ref="J68:L68"/>
    <mergeCell ref="B70:L70"/>
    <mergeCell ref="N70:P70"/>
    <mergeCell ref="B71:D71"/>
    <mergeCell ref="K71:L71"/>
    <mergeCell ref="N71:O71"/>
    <mergeCell ref="B72:D72"/>
    <mergeCell ref="K72:L72"/>
    <mergeCell ref="N72:O72"/>
    <mergeCell ref="B73:D73"/>
    <mergeCell ref="K73:L73"/>
    <mergeCell ref="N73:O73"/>
    <mergeCell ref="B74:D74"/>
    <mergeCell ref="K74:L74"/>
    <mergeCell ref="N74:O74"/>
    <mergeCell ref="B75:D75"/>
    <mergeCell ref="K75:L75"/>
    <mergeCell ref="N75:O75"/>
    <mergeCell ref="B76:D76"/>
    <mergeCell ref="K76:L76"/>
    <mergeCell ref="N76:O76"/>
  </mergeCells>
  <conditionalFormatting sqref="F6:H6">
    <cfRule type="expression" priority="2" aboveAverage="0" equalAverage="0" bottom="0" percent="0" rank="0" text="" dxfId="0">
      <formula>$H6&lt;0.9</formula>
    </cfRule>
    <cfRule type="expression" priority="3" aboveAverage="0" equalAverage="0" bottom="0" percent="0" rank="0" text="" dxfId="1">
      <formula>$H6&lt;=1.1</formula>
    </cfRule>
    <cfRule type="expression" priority="4" aboveAverage="0" equalAverage="0" bottom="0" percent="0" rank="0" text="" dxfId="2">
      <formula>$H6&gt;1.1</formula>
    </cfRule>
  </conditionalFormatting>
  <conditionalFormatting sqref="B6:D6">
    <cfRule type="expression" priority="5" aboveAverage="0" equalAverage="0" bottom="0" percent="0" rank="0" text="" dxfId="3">
      <formula>$D6&lt;=1</formula>
    </cfRule>
    <cfRule type="expression" priority="6" aboveAverage="0" equalAverage="0" bottom="0" percent="0" rank="0" text="" dxfId="4">
      <formula>$D6&gt;1</formula>
    </cfRule>
  </conditionalFormatting>
  <conditionalFormatting sqref="J6:L6">
    <cfRule type="expression" priority="7" aboveAverage="0" equalAverage="0" bottom="0" percent="0" rank="0" text="" dxfId="5">
      <formula>$L6&lt;=1</formula>
    </cfRule>
    <cfRule type="expression" priority="8" aboveAverage="0" equalAverage="0" bottom="0" percent="0" rank="0" text="" dxfId="6">
      <formula>$L6&gt;1</formula>
    </cfRule>
  </conditionalFormatting>
  <conditionalFormatting sqref="F25 H25">
    <cfRule type="expression" priority="9" aboveAverage="0" equalAverage="0" bottom="0" percent="0" rank="0" text="" dxfId="7">
      <formula>$H25&lt;0.9</formula>
    </cfRule>
    <cfRule type="expression" priority="10" aboveAverage="0" equalAverage="0" bottom="0" percent="0" rank="0" text="" dxfId="8">
      <formula>$H25&lt;=1.1</formula>
    </cfRule>
    <cfRule type="expression" priority="11" aboveAverage="0" equalAverage="0" bottom="0" percent="0" rank="0" text="" dxfId="9">
      <formula>$H25&gt;1.1</formula>
    </cfRule>
  </conditionalFormatting>
  <conditionalFormatting sqref="B25:D25">
    <cfRule type="expression" priority="12" aboveAverage="0" equalAverage="0" bottom="0" percent="0" rank="0" text="" dxfId="10">
      <formula>$D25&lt;=1</formula>
    </cfRule>
    <cfRule type="expression" priority="13" aboveAverage="0" equalAverage="0" bottom="0" percent="0" rank="0" text="" dxfId="11">
      <formula>$D25&gt;1</formula>
    </cfRule>
  </conditionalFormatting>
  <conditionalFormatting sqref="J25:L25">
    <cfRule type="expression" priority="14" aboveAverage="0" equalAverage="0" bottom="0" percent="0" rank="0" text="" dxfId="12">
      <formula>$L25&lt;=1</formula>
    </cfRule>
    <cfRule type="expression" priority="15" aboveAverage="0" equalAverage="0" bottom="0" percent="0" rank="0" text="" dxfId="13">
      <formula>$L25&gt;1</formula>
    </cfRule>
  </conditionalFormatting>
  <conditionalFormatting sqref="G25">
    <cfRule type="expression" priority="16" aboveAverage="0" equalAverage="0" bottom="0" percent="0" rank="0" text="" dxfId="14">
      <formula>$H25&lt;0.9</formula>
    </cfRule>
    <cfRule type="expression" priority="17" aboveAverage="0" equalAverage="0" bottom="0" percent="0" rank="0" text="" dxfId="15">
      <formula>$H25&lt;=1.1</formula>
    </cfRule>
    <cfRule type="expression" priority="18" aboveAverage="0" equalAverage="0" bottom="0" percent="0" rank="0" text="" dxfId="16">
      <formula>$H25&gt;1.1</formula>
    </cfRule>
  </conditionalFormatting>
  <conditionalFormatting sqref="N6:P6">
    <cfRule type="expression" priority="19" aboveAverage="0" equalAverage="0" bottom="0" percent="0" rank="0" text="" dxfId="17">
      <formula>$P6&lt;0.9</formula>
    </cfRule>
    <cfRule type="expression" priority="20" aboveAverage="0" equalAverage="0" bottom="0" percent="0" rank="0" text="" dxfId="18">
      <formula>$P6&lt;=1.1</formula>
    </cfRule>
    <cfRule type="expression" priority="21" aboveAverage="0" equalAverage="0" bottom="0" percent="0" rank="0" text="" dxfId="19">
      <formula>$P6&gt;1.1</formula>
    </cfRule>
  </conditionalFormatting>
  <conditionalFormatting sqref="F27">
    <cfRule type="expression" priority="22" aboveAverage="0" equalAverage="0" bottom="0" percent="0" rank="0" text="" dxfId="20">
      <formula>G25&lt;F25*0.9</formula>
    </cfRule>
    <cfRule type="expression" priority="23" aboveAverage="0" equalAverage="0" bottom="0" percent="0" rank="0" text="" dxfId="21">
      <formula>G25&gt;=F25*0.9</formula>
    </cfRule>
  </conditionalFormatting>
  <conditionalFormatting sqref="F28">
    <cfRule type="expression" priority="24" aboveAverage="0" equalAverage="0" bottom="0" percent="0" rank="0" text="" dxfId="22">
      <formula>G25&lt;F25*0.9</formula>
    </cfRule>
    <cfRule type="expression" priority="25" aboveAverage="0" equalAverage="0" bottom="0" percent="0" rank="0" text="" dxfId="23">
      <formula>G25&gt;=F25*0.9</formula>
    </cfRule>
  </conditionalFormatting>
  <conditionalFormatting sqref="F29">
    <cfRule type="expression" priority="26" aboveAverage="0" equalAverage="0" bottom="0" percent="0" rank="0" text="" dxfId="24">
      <formula>G25&lt;F25*0.9</formula>
    </cfRule>
    <cfRule type="expression" priority="27" aboveAverage="0" equalAverage="0" bottom="0" percent="0" rank="0" text="" dxfId="25">
      <formula>G25&gt;=F25*0.9</formula>
    </cfRule>
  </conditionalFormatting>
  <conditionalFormatting sqref="F33:F39 H33:H39">
    <cfRule type="colorScale" priority="28">
      <colorScale>
        <cfvo type="min" val="0"/>
        <cfvo type="max" val="0"/>
        <color rgb="FFFCFCFF"/>
        <color rgb="FF63BE7B"/>
      </colorScale>
    </cfRule>
  </conditionalFormatting>
  <conditionalFormatting sqref="F33:F39">
    <cfRule type="colorScale" priority="29">
      <colorScale>
        <cfvo type="min" val="0"/>
        <cfvo type="max" val="0"/>
        <color rgb="FFFCFCFF"/>
        <color rgb="FF63BE7B"/>
      </colorScale>
    </cfRule>
  </conditionalFormatting>
  <conditionalFormatting sqref="P33:P39 N33:N39">
    <cfRule type="colorScale" priority="30">
      <colorScale>
        <cfvo type="min" val="0"/>
        <cfvo type="max" val="0"/>
        <color rgb="FFFCFCFF"/>
        <color rgb="FF63BE7B"/>
      </colorScale>
    </cfRule>
  </conditionalFormatting>
  <conditionalFormatting sqref="N33:N39">
    <cfRule type="colorScale" priority="31">
      <colorScale>
        <cfvo type="min" val="0"/>
        <cfvo type="max" val="0"/>
        <color rgb="FFFCFCFF"/>
        <color rgb="FFF8696B"/>
      </colorScale>
    </cfRule>
  </conditionalFormatting>
  <conditionalFormatting sqref="P33:P39">
    <cfRule type="colorScale" priority="32">
      <colorScale>
        <cfvo type="min" val="0"/>
        <cfvo type="max" val="0"/>
        <color rgb="FFFCFCFF"/>
        <color rgb="FFF8696B"/>
      </colorScale>
    </cfRule>
  </conditionalFormatting>
  <conditionalFormatting sqref="N27">
    <cfRule type="expression" priority="33" aboveAverage="0" equalAverage="0" bottom="0" percent="0" rank="0" text="" dxfId="26">
      <formula>O25&lt;N25*0.9</formula>
    </cfRule>
    <cfRule type="expression" priority="34" aboveAverage="0" equalAverage="0" bottom="0" percent="0" rank="0" text="" dxfId="27">
      <formula>O25&gt;=N25*0.9</formula>
    </cfRule>
  </conditionalFormatting>
  <conditionalFormatting sqref="N28">
    <cfRule type="expression" priority="35" aboveAverage="0" equalAverage="0" bottom="0" percent="0" rank="0" text="" dxfId="28">
      <formula>O25&lt;N25*0.9</formula>
    </cfRule>
    <cfRule type="expression" priority="36" aboveAverage="0" equalAverage="0" bottom="0" percent="0" rank="0" text="" dxfId="29">
      <formula>O25&gt;=N25*0.9</formula>
    </cfRule>
  </conditionalFormatting>
  <conditionalFormatting sqref="N29">
    <cfRule type="expression" priority="37" aboveAverage="0" equalAverage="0" bottom="0" percent="0" rank="0" text="" dxfId="30">
      <formula>O25&lt;N25*0.9</formula>
    </cfRule>
    <cfRule type="expression" priority="38" aboveAverage="0" equalAverage="0" bottom="0" percent="0" rank="0" text="" dxfId="31">
      <formula>O25&gt;=N25*0.9</formula>
    </cfRule>
  </conditionalFormatting>
  <conditionalFormatting sqref="F54 H54">
    <cfRule type="expression" priority="39" aboveAverage="0" equalAverage="0" bottom="0" percent="0" rank="0" text="" dxfId="32">
      <formula>$H54&lt;0.9</formula>
    </cfRule>
    <cfRule type="expression" priority="40" aboveAverage="0" equalAverage="0" bottom="0" percent="0" rank="0" text="" dxfId="33">
      <formula>$H54&lt;=1.1</formula>
    </cfRule>
    <cfRule type="expression" priority="41" aboveAverage="0" equalAverage="0" bottom="0" percent="0" rank="0" text="" dxfId="34">
      <formula>$H54&gt;1.1</formula>
    </cfRule>
  </conditionalFormatting>
  <conditionalFormatting sqref="B54:D54">
    <cfRule type="expression" priority="42" aboveAverage="0" equalAverage="0" bottom="0" percent="0" rank="0" text="" dxfId="35">
      <formula>$D54&lt;=1</formula>
    </cfRule>
    <cfRule type="expression" priority="43" aboveAverage="0" equalAverage="0" bottom="0" percent="0" rank="0" text="" dxfId="36">
      <formula>$D54&gt;1</formula>
    </cfRule>
  </conditionalFormatting>
  <conditionalFormatting sqref="J54:L54">
    <cfRule type="expression" priority="44" aboveAverage="0" equalAverage="0" bottom="0" percent="0" rank="0" text="" dxfId="37">
      <formula>$L54&lt;=1</formula>
    </cfRule>
    <cfRule type="expression" priority="45" aboveAverage="0" equalAverage="0" bottom="0" percent="0" rank="0" text="" dxfId="38">
      <formula>$L54&gt;1</formula>
    </cfRule>
  </conditionalFormatting>
  <conditionalFormatting sqref="G54">
    <cfRule type="expression" priority="46" aboveAverage="0" equalAverage="0" bottom="0" percent="0" rank="0" text="" dxfId="39">
      <formula>$H54&lt;0.9</formula>
    </cfRule>
    <cfRule type="expression" priority="47" aboveAverage="0" equalAverage="0" bottom="0" percent="0" rank="0" text="" dxfId="40">
      <formula>$H54&lt;=1.1</formula>
    </cfRule>
    <cfRule type="expression" priority="48" aboveAverage="0" equalAverage="0" bottom="0" percent="0" rank="0" text="" dxfId="41">
      <formula>$H54&gt;1.1</formula>
    </cfRule>
  </conditionalFormatting>
  <conditionalFormatting sqref="F56">
    <cfRule type="expression" priority="49" aboveAverage="0" equalAverage="0" bottom="0" percent="0" rank="0" text="" dxfId="42">
      <formula>G54&lt;F54*0.9</formula>
    </cfRule>
    <cfRule type="expression" priority="50" aboveAverage="0" equalAverage="0" bottom="0" percent="0" rank="0" text="" dxfId="43">
      <formula>G54&gt;=F54*0.9</formula>
    </cfRule>
  </conditionalFormatting>
  <conditionalFormatting sqref="F57">
    <cfRule type="expression" priority="51" aboveAverage="0" equalAverage="0" bottom="0" percent="0" rank="0" text="" dxfId="44">
      <formula>G54&lt;F54*0.9</formula>
    </cfRule>
    <cfRule type="expression" priority="52" aboveAverage="0" equalAverage="0" bottom="0" percent="0" rank="0" text="" dxfId="45">
      <formula>G54&gt;=F54*0.9</formula>
    </cfRule>
  </conditionalFormatting>
  <conditionalFormatting sqref="F62:F68 H62:H68">
    <cfRule type="colorScale" priority="53">
      <colorScale>
        <cfvo type="min" val="0"/>
        <cfvo type="max" val="0"/>
        <color rgb="FFFCFCFF"/>
        <color rgb="FF63BE7B"/>
      </colorScale>
    </cfRule>
  </conditionalFormatting>
  <conditionalFormatting sqref="F62:F68">
    <cfRule type="colorScale" priority="54">
      <colorScale>
        <cfvo type="min" val="0"/>
        <cfvo type="max" val="0"/>
        <color rgb="FFFCFCFF"/>
        <color rgb="FF63BE7B"/>
      </colorScale>
    </cfRule>
  </conditionalFormatting>
  <conditionalFormatting sqref="P62:P68 N62:N68">
    <cfRule type="colorScale" priority="55">
      <colorScale>
        <cfvo type="min" val="0"/>
        <cfvo type="max" val="0"/>
        <color rgb="FFFCFCFF"/>
        <color rgb="FF63BE7B"/>
      </colorScale>
    </cfRule>
  </conditionalFormatting>
  <conditionalFormatting sqref="N62:N68">
    <cfRule type="colorScale" priority="56">
      <colorScale>
        <cfvo type="min" val="0"/>
        <cfvo type="max" val="0"/>
        <color rgb="FFFCFCFF"/>
        <color rgb="FFF8696B"/>
      </colorScale>
    </cfRule>
  </conditionalFormatting>
  <conditionalFormatting sqref="P62:P68">
    <cfRule type="colorScale" priority="57">
      <colorScale>
        <cfvo type="min" val="0"/>
        <cfvo type="max" val="0"/>
        <color rgb="FFFCFCFF"/>
        <color rgb="FFF8696B"/>
      </colorScale>
    </cfRule>
  </conditionalFormatting>
  <conditionalFormatting sqref="N56">
    <cfRule type="expression" priority="58" aboveAverage="0" equalAverage="0" bottom="0" percent="0" rank="0" text="" dxfId="46">
      <formula>O54&lt;N54*0.9</formula>
    </cfRule>
    <cfRule type="expression" priority="59" aboveAverage="0" equalAverage="0" bottom="0" percent="0" rank="0" text="" dxfId="47">
      <formula>O54&gt;=N54*0.9</formula>
    </cfRule>
  </conditionalFormatting>
  <conditionalFormatting sqref="N57">
    <cfRule type="expression" priority="60" aboveAverage="0" equalAverage="0" bottom="0" percent="0" rank="0" text="" dxfId="48">
      <formula>O54&lt;N54*0.9</formula>
    </cfRule>
    <cfRule type="expression" priority="61" aboveAverage="0" equalAverage="0" bottom="0" percent="0" rank="0" text="" dxfId="49">
      <formula>O54&gt;=N54*0.9</formula>
    </cfRule>
  </conditionalFormatting>
  <conditionalFormatting sqref="N58">
    <cfRule type="expression" priority="62" aboveAverage="0" equalAverage="0" bottom="0" percent="0" rank="0" text="" dxfId="50">
      <formula>O54&lt;N54*0.9</formula>
    </cfRule>
    <cfRule type="expression" priority="63" aboveAverage="0" equalAverage="0" bottom="0" percent="0" rank="0" text="" dxfId="51">
      <formula>O54&gt;=N54*0.9</formula>
    </cfRule>
  </conditionalFormatting>
  <conditionalFormatting sqref="F58">
    <cfRule type="expression" priority="64" aboveAverage="0" equalAverage="0" bottom="0" percent="0" rank="0" text="" dxfId="52">
      <formula>G54&lt;F54*0.9</formula>
    </cfRule>
    <cfRule type="expression" priority="65" aboveAverage="0" equalAverage="0" bottom="0" percent="0" rank="0" text="" dxfId="53">
      <formula>G54&gt;=F54*0.9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55"/>
  <sheetViews>
    <sheetView showFormulas="false" showGridLines="fals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B21" activeCellId="0" sqref="B21"/>
    </sheetView>
  </sheetViews>
  <sheetFormatPr defaultRowHeight="15.75" zeroHeight="false" outlineLevelRow="1" outlineLevelCol="0"/>
  <cols>
    <col collapsed="false" customWidth="true" hidden="false" outlineLevel="0" max="1" min="1" style="1" width="1.87"/>
    <col collapsed="false" customWidth="true" hidden="false" outlineLevel="0" max="4" min="2" style="0" width="25"/>
    <col collapsed="false" customWidth="true" hidden="false" outlineLevel="0" max="5" min="5" style="1" width="1.87"/>
    <col collapsed="false" customWidth="true" hidden="false" outlineLevel="0" max="8" min="6" style="0" width="23"/>
    <col collapsed="false" customWidth="true" hidden="false" outlineLevel="0" max="9" min="9" style="1" width="1.87"/>
    <col collapsed="false" customWidth="true" hidden="false" outlineLevel="0" max="12" min="10" style="0" width="20"/>
    <col collapsed="false" customWidth="true" hidden="false" outlineLevel="0" max="13" min="13" style="1" width="1.87"/>
    <col collapsed="false" customWidth="true" hidden="false" outlineLevel="0" max="16" min="14" style="0" width="20"/>
    <col collapsed="false" customWidth="true" hidden="false" outlineLevel="0" max="17" min="17" style="0" width="1.87"/>
    <col collapsed="false" customWidth="true" hidden="false" outlineLevel="0" max="20" min="18" style="0" width="23"/>
    <col collapsed="false" customWidth="true" hidden="false" outlineLevel="0" max="1025" min="21" style="0" width="11"/>
  </cols>
  <sheetData>
    <row r="1" s="1" customFormat="true" ht="15" hidden="false" customHeight="true" outlineLevel="0" collapsed="false">
      <c r="J1" s="83"/>
      <c r="K1" s="83"/>
      <c r="L1" s="83"/>
      <c r="N1" s="83"/>
      <c r="O1" s="83"/>
      <c r="P1" s="83"/>
    </row>
    <row r="2" customFormat="false" ht="21" hidden="false" customHeight="false" outlineLevel="0" collapsed="false">
      <c r="B2" s="84" t="str">
        <f aca="false">"Результаты агентства за " &amp; current_month</f>
        <v>Результаты агентства за 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="1" customFormat="true" ht="15" hidden="false" customHeight="true" outlineLevel="0" collapsed="false">
      <c r="F3" s="17"/>
    </row>
    <row r="4" s="8" customFormat="true" ht="20.1" hidden="false" customHeight="true" outlineLevel="0" collapsed="false">
      <c r="A4" s="6"/>
      <c r="B4" s="5" t="str">
        <f aca="false">"План по турам на " &amp; current_month</f>
        <v>План по турам на </v>
      </c>
      <c r="C4" s="5"/>
      <c r="D4" s="5"/>
      <c r="E4" s="6"/>
      <c r="F4" s="7" t="str">
        <f aca="true">"План по турам нарастающим итогом на "&amp;  DAY(TODAY()) &amp; "." &amp;  MONTH(TODAY())</f>
        <v>План по турам нарастающим итогом на 23.8</v>
      </c>
      <c r="G4" s="7"/>
      <c r="H4" s="7"/>
      <c r="I4" s="6"/>
      <c r="J4" s="5" t="str">
        <f aca="true">"План по турам по заявкам на "&amp;  DAY(TODAY()) &amp; "." &amp;  MONTH(TODAY())</f>
        <v>План по турам по заявкам на 23.8</v>
      </c>
      <c r="K4" s="5"/>
      <c r="L4" s="5"/>
      <c r="M4" s="6"/>
      <c r="N4" s="5" t="str">
        <f aca="false">"План по допам на " &amp; current_month</f>
        <v>План по допам на </v>
      </c>
      <c r="O4" s="5"/>
      <c r="P4" s="5"/>
      <c r="R4" s="7" t="str">
        <f aca="true">"План по допам нарастающим итогом на "&amp;  DAY(TODAY()) &amp; "." &amp;  MONTH(TODAY())</f>
        <v>План по допам нарастающим итогом на 23.8</v>
      </c>
      <c r="S4" s="7"/>
      <c r="T4" s="7"/>
    </row>
    <row r="5" s="12" customFormat="true" ht="20.1" hidden="false" customHeight="true" outlineLevel="0" collapsed="false">
      <c r="A5" s="11"/>
      <c r="B5" s="10" t="s">
        <v>0</v>
      </c>
      <c r="C5" s="10" t="s">
        <v>1</v>
      </c>
      <c r="D5" s="10" t="s">
        <v>2</v>
      </c>
      <c r="E5" s="11"/>
      <c r="F5" s="10" t="s">
        <v>0</v>
      </c>
      <c r="G5" s="10" t="s">
        <v>1</v>
      </c>
      <c r="H5" s="10" t="s">
        <v>2</v>
      </c>
      <c r="I5" s="11"/>
      <c r="J5" s="10" t="s">
        <v>0</v>
      </c>
      <c r="K5" s="10" t="s">
        <v>1</v>
      </c>
      <c r="L5" s="10" t="s">
        <v>2</v>
      </c>
      <c r="M5" s="11"/>
      <c r="N5" s="10" t="s">
        <v>0</v>
      </c>
      <c r="O5" s="10" t="s">
        <v>1</v>
      </c>
      <c r="P5" s="10" t="s">
        <v>2</v>
      </c>
      <c r="R5" s="10" t="s">
        <v>0</v>
      </c>
      <c r="S5" s="10" t="s">
        <v>1</v>
      </c>
      <c r="T5" s="10" t="s">
        <v>2</v>
      </c>
    </row>
    <row r="6" s="16" customFormat="true" ht="50.1" hidden="false" customHeight="true" outlineLevel="0" collapsed="false">
      <c r="A6" s="1"/>
      <c r="B6" s="21" t="n">
        <f aca="false">ПланТуры</f>
        <v>0</v>
      </c>
      <c r="C6" s="21" t="n">
        <f aca="false">SUMIF(Фактеризация!$C$1:$C$783,"Прибыль по турам",Фактеризация!$AI$1:$AI$783)</f>
        <v>0</v>
      </c>
      <c r="D6" s="85" t="n">
        <f aca="false">IFERROR(C6/B6,0)</f>
        <v>0</v>
      </c>
      <c r="E6" s="86"/>
      <c r="F6" s="87" t="e">
        <f aca="false">B6*НарастающийИтогДоля</f>
        <v>#N/A</v>
      </c>
      <c r="G6" s="21" t="n">
        <f aca="false">C6</f>
        <v>0</v>
      </c>
      <c r="H6" s="85" t="n">
        <f aca="false">IFERROR(G6/F6,0)</f>
        <v>0</v>
      </c>
      <c r="I6" s="86"/>
      <c r="J6" s="21" t="n">
        <f aca="false">SUM(L9:L15)</f>
        <v>0</v>
      </c>
      <c r="K6" s="21" t="n">
        <f aca="false">G6</f>
        <v>0</v>
      </c>
      <c r="L6" s="85" t="n">
        <f aca="false">IFERROR(K6/J6,0)</f>
        <v>0</v>
      </c>
      <c r="M6" s="1"/>
      <c r="N6" s="21" t="n">
        <f aca="false">ПланДопы</f>
        <v>0</v>
      </c>
      <c r="O6" s="21" t="n">
        <f aca="false">SUMIF(Фактеризация!$C$1:$C$783,"Прибыль по допам",Фактеризация!$AI$1:$AI$783)</f>
        <v>0</v>
      </c>
      <c r="P6" s="85" t="n">
        <f aca="false">IFERROR(O6/N6,0)</f>
        <v>0</v>
      </c>
      <c r="R6" s="88" t="e">
        <f aca="false">N6*НарастающийИтогДоля</f>
        <v>#N/A</v>
      </c>
      <c r="S6" s="88" t="n">
        <f aca="false">O6</f>
        <v>0</v>
      </c>
      <c r="T6" s="89" t="n">
        <f aca="false">IFERROR(S6/R6,0)</f>
        <v>0</v>
      </c>
    </row>
    <row r="7" s="1" customFormat="true" ht="15" hidden="false" customHeight="true" outlineLevel="0" collapsed="false"/>
    <row r="8" customFormat="false" ht="20.1" hidden="false" customHeight="true" outlineLevel="0" collapsed="false">
      <c r="J8" s="90" t="s">
        <v>24</v>
      </c>
      <c r="K8" s="90" t="s">
        <v>25</v>
      </c>
      <c r="L8" s="90" t="s">
        <v>26</v>
      </c>
    </row>
    <row r="9" customFormat="false" ht="20.1" hidden="false" customHeight="true" outlineLevel="0" collapsed="false">
      <c r="B9" s="18"/>
      <c r="J9" s="91" t="str">
        <f aca="false">Настройки!B5</f>
        <v>Соцсети</v>
      </c>
      <c r="K9" s="92" t="n">
        <f aca="false">SUMIF(Фактеризация!$C$1:$C$784,J9,Фактеризация!$AI$1:$AI$784)</f>
        <v>0</v>
      </c>
      <c r="L9" s="93" t="n">
        <f aca="false">K9*СреднийЧек*Настройки!$C$5</f>
        <v>0</v>
      </c>
    </row>
    <row r="10" customFormat="false" ht="20.1" hidden="false" customHeight="true" outlineLevel="0" collapsed="false">
      <c r="J10" s="91" t="str">
        <f aca="false">Настройки!B6</f>
        <v>Сайт (директ)</v>
      </c>
      <c r="K10" s="92" t="n">
        <f aca="false">SUMIF(Фактеризация!$C$1:$C$784,J10,Фактеризация!$AI$1:$AI$784)</f>
        <v>0</v>
      </c>
      <c r="L10" s="93" t="n">
        <f aca="false">K10*СреднийЧек*Настройки!$C$6</f>
        <v>0</v>
      </c>
    </row>
    <row r="11" customFormat="false" ht="20.1" hidden="false" customHeight="true" outlineLevel="0" collapsed="false">
      <c r="J11" s="91" t="str">
        <f aca="false">Настройки!B7</f>
        <v>Сайт (SEO)</v>
      </c>
      <c r="K11" s="92" t="n">
        <f aca="false">SUMIF(Фактеризация!$C$1:$C$784,J11,Фактеризация!$AI$1:$AI$784)</f>
        <v>0</v>
      </c>
      <c r="L11" s="93" t="n">
        <f aca="false">K11*СреднийЧек*Настройки!$C$7</f>
        <v>0</v>
      </c>
    </row>
    <row r="12" customFormat="false" ht="20.1" hidden="false" customHeight="true" outlineLevel="0" collapsed="false">
      <c r="J12" s="91" t="str">
        <f aca="false">Настройки!B8</f>
        <v>Instagram</v>
      </c>
      <c r="K12" s="92" t="n">
        <f aca="false">SUMIF(Фактеризация!$C$1:$C$784,J12,Фактеризация!$AI$1:$AI$784)</f>
        <v>0</v>
      </c>
      <c r="L12" s="93" t="n">
        <f aca="false">K12*СреднийЧек*Настройки!$C$8</f>
        <v>0</v>
      </c>
    </row>
    <row r="13" customFormat="false" ht="20.1" hidden="false" customHeight="true" outlineLevel="0" collapsed="false">
      <c r="J13" s="91" t="str">
        <f aca="false">Настройки!B9</f>
        <v>Зашли с улицы</v>
      </c>
      <c r="K13" s="92" t="n">
        <f aca="false">SUMIF(Фактеризация!$C$1:$C$784,J13,Фактеризация!$AI$1:$AI$784)</f>
        <v>0</v>
      </c>
      <c r="L13" s="93" t="n">
        <f aca="false">K13*СреднийЧек*Настройки!$C$9</f>
        <v>0</v>
      </c>
    </row>
    <row r="14" customFormat="false" ht="20.1" hidden="false" customHeight="true" outlineLevel="0" collapsed="false">
      <c r="J14" s="91" t="str">
        <f aca="false">Настройки!B10</f>
        <v>По рекомендации</v>
      </c>
      <c r="K14" s="92" t="n">
        <f aca="false">SUMIF(Фактеризация!$C$1:$C$784,J14,Фактеризация!$AI$1:$AI$784)</f>
        <v>0</v>
      </c>
      <c r="L14" s="93" t="n">
        <f aca="false">K14*СреднийЧек*Настройки!$C$10</f>
        <v>0</v>
      </c>
    </row>
    <row r="15" customFormat="false" ht="20.1" hidden="false" customHeight="true" outlineLevel="0" collapsed="false">
      <c r="J15" s="91" t="str">
        <f aca="false">Настройки!B11</f>
        <v>Постоянные клиенты</v>
      </c>
      <c r="K15" s="92" t="n">
        <f aca="false">SUMIF(Фактеризация!$C$1:$C$784,J15,Фактеризация!$AI$1:$AI$784)</f>
        <v>0</v>
      </c>
      <c r="L15" s="93" t="n">
        <f aca="false">K15*СреднийЧек*Настройки!$C$11</f>
        <v>0</v>
      </c>
    </row>
    <row r="16" s="1" customFormat="true" ht="15" hidden="false" customHeight="true" outlineLevel="0" collapsed="false"/>
    <row r="17" s="1" customFormat="true" ht="20.1" hidden="false" customHeight="true" outlineLevel="0" collapsed="false">
      <c r="B17" s="94" t="str">
        <f aca="false">"Командный план по турам на " &amp;current_month</f>
        <v>Командный план по турам на </v>
      </c>
      <c r="C17" s="94"/>
      <c r="D17" s="95" t="n">
        <f aca="false">ПланТуры</f>
        <v>0</v>
      </c>
      <c r="E17" s="94"/>
      <c r="F17" s="96" t="e">
        <f aca="true">"На " &amp; DAY(TODAY()) &amp;" " &amp; CurrentMonthRod &amp;" план нарастающим итогом"</f>
        <v>#N/A</v>
      </c>
      <c r="G17" s="94"/>
      <c r="H17" s="95" t="e">
        <f aca="false">F6</f>
        <v>#N/A</v>
      </c>
      <c r="I17" s="94"/>
      <c r="J17" s="96" t="e">
        <f aca="true">"На " &amp; DAY(TODAY()) &amp;" " &amp; CurrentMonthRod &amp;" мы получили заявок на"</f>
        <v>#N/A</v>
      </c>
      <c r="K17" s="94"/>
      <c r="L17" s="95" t="n">
        <f aca="false">J6</f>
        <v>0</v>
      </c>
      <c r="M17" s="94"/>
      <c r="N17" s="94" t="s">
        <v>27</v>
      </c>
      <c r="O17" s="94"/>
      <c r="P17" s="95" t="n">
        <f aca="false">N6</f>
        <v>0</v>
      </c>
      <c r="Q17" s="94"/>
      <c r="R17" s="96" t="e">
        <f aca="true">"На " &amp; DAY(TODAY()) &amp;" " &amp; CurrentMonthRod &amp;" план нарастающим итогом"</f>
        <v>#N/A</v>
      </c>
      <c r="S17" s="94"/>
      <c r="T17" s="95" t="e">
        <f aca="false">R6</f>
        <v>#N/A</v>
      </c>
      <c r="U17" s="94"/>
    </row>
    <row r="18" s="1" customFormat="true" ht="20.1" hidden="false" customHeight="true" outlineLevel="0" collapsed="false">
      <c r="B18" s="94" t="s">
        <v>28</v>
      </c>
      <c r="C18" s="94"/>
      <c r="D18" s="97" t="n">
        <f aca="false">C6</f>
        <v>0</v>
      </c>
      <c r="E18" s="94"/>
      <c r="F18" s="98" t="s">
        <v>29</v>
      </c>
      <c r="G18" s="99"/>
      <c r="H18" s="100" t="n">
        <f aca="false">H6</f>
        <v>0</v>
      </c>
      <c r="I18" s="99"/>
      <c r="J18" s="101" t="str">
        <f aca="false">IF(L6&lt;1,"Менеджеры недостаточно эффективны","Менеджеры работают хорошо")</f>
        <v>Менеджеры недостаточно эффективны</v>
      </c>
      <c r="K18" s="101"/>
      <c r="L18" s="101"/>
      <c r="M18" s="101"/>
      <c r="N18" s="94" t="s">
        <v>30</v>
      </c>
      <c r="O18" s="94"/>
      <c r="P18" s="95" t="n">
        <f aca="false">O6</f>
        <v>0</v>
      </c>
      <c r="Q18" s="94"/>
      <c r="R18" s="98" t="s">
        <v>29</v>
      </c>
      <c r="S18" s="99"/>
      <c r="T18" s="100" t="n">
        <f aca="false">T6</f>
        <v>0</v>
      </c>
      <c r="U18" s="102"/>
    </row>
    <row r="19" s="1" customFormat="true" ht="20.1" hidden="false" customHeight="true" outlineLevel="0" collapsed="false">
      <c r="F19" s="98" t="e">
        <f aca="false">IF(G6&lt;F6,"Мы отстаем от плана на","Мы перевыполняем план на")</f>
        <v>#N/A</v>
      </c>
      <c r="G19" s="99"/>
      <c r="H19" s="103" t="e">
        <f aca="false">ROUND(IF(G6&gt;=F6,G6-F6,F6-G6),0)</f>
        <v>#N/A</v>
      </c>
      <c r="I19" s="99"/>
      <c r="J19" s="104" t="e">
        <f aca="false">IF(J6&lt;F6,"Заявок не хватает для выполнения плана","Заявок в избытке для выполнения плана")</f>
        <v>#N/A</v>
      </c>
      <c r="K19" s="104"/>
      <c r="L19" s="104"/>
      <c r="M19" s="105"/>
      <c r="R19" s="98" t="e">
        <f aca="false">IF(S6&lt;R6,"Мы отстаем от плана на","Мы перевыполняем план на")</f>
        <v>#N/A</v>
      </c>
      <c r="S19" s="99"/>
      <c r="T19" s="103" t="e">
        <f aca="false">ROUND(IF(S6&gt;=R6,S6-R6,R6-S6),0)</f>
        <v>#N/A</v>
      </c>
      <c r="U19" s="102"/>
    </row>
    <row r="20" s="1" customFormat="true" ht="15" hidden="false" customHeight="true" outlineLevel="0" collapsed="false"/>
    <row r="21" s="1" customFormat="true" ht="20.1" hidden="false" customHeight="true" outlineLevel="0" collapsed="false">
      <c r="A21" s="2" t="n">
        <v>1</v>
      </c>
      <c r="B21" s="106" t="str">
        <f aca="true">INDIRECT("Менеджер_"&amp;A21)</f>
        <v>Менеджер1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</row>
    <row r="22" s="1" customFormat="true" ht="15" hidden="false" customHeight="true" outlineLevel="0" collapsed="false">
      <c r="A22" s="2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customFormat="false" ht="20.1" hidden="false" customHeight="true" outlineLevel="0" collapsed="false">
      <c r="A23" s="2"/>
      <c r="B23" s="5" t="str">
        <f aca="false">"План по турам на " &amp; current_month</f>
        <v>План по турам на </v>
      </c>
      <c r="C23" s="5"/>
      <c r="D23" s="5"/>
      <c r="E23" s="6"/>
      <c r="F23" s="7" t="str">
        <f aca="true">"План нарастающим итогом на "&amp;  DAY(TODAY()) &amp; "." &amp;  MONTH(TODAY())</f>
        <v>План нарастающим итогом на 23.8</v>
      </c>
      <c r="G23" s="7"/>
      <c r="H23" s="7"/>
      <c r="I23" s="6"/>
      <c r="J23" s="5" t="str">
        <f aca="true">"План по заявкам на "&amp;  DAY(TODAY()) &amp; "." &amp;  MONTH(TODAY())</f>
        <v>План по заявкам на 23.8</v>
      </c>
      <c r="K23" s="5"/>
      <c r="L23" s="5"/>
      <c r="M23" s="6"/>
      <c r="N23" s="5" t="str">
        <f aca="false">"План по допам на " &amp; current_month</f>
        <v>План по допам на </v>
      </c>
      <c r="O23" s="5"/>
      <c r="P23" s="5"/>
      <c r="R23" s="7" t="str">
        <f aca="true">"План по допам нарастающим итогом на "&amp;  DAY(TODAY()) &amp; "." &amp;  MONTH(TODAY())</f>
        <v>План по допам нарастающим итогом на 23.8</v>
      </c>
      <c r="S23" s="7"/>
      <c r="T23" s="7"/>
    </row>
    <row r="24" customFormat="false" ht="20.1" hidden="false" customHeight="true" outlineLevel="0" collapsed="false">
      <c r="A24" s="2"/>
      <c r="B24" s="10" t="s">
        <v>0</v>
      </c>
      <c r="C24" s="10" t="s">
        <v>1</v>
      </c>
      <c r="D24" s="10" t="s">
        <v>2</v>
      </c>
      <c r="E24" s="11"/>
      <c r="F24" s="10" t="s">
        <v>0</v>
      </c>
      <c r="G24" s="10" t="s">
        <v>1</v>
      </c>
      <c r="H24" s="10" t="s">
        <v>3</v>
      </c>
      <c r="I24" s="11"/>
      <c r="J24" s="10" t="s">
        <v>0</v>
      </c>
      <c r="K24" s="10" t="s">
        <v>1</v>
      </c>
      <c r="L24" s="10" t="s">
        <v>3</v>
      </c>
      <c r="M24" s="11"/>
      <c r="N24" s="10" t="s">
        <v>0</v>
      </c>
      <c r="O24" s="10" t="s">
        <v>1</v>
      </c>
      <c r="P24" s="10" t="s">
        <v>3</v>
      </c>
      <c r="R24" s="10" t="s">
        <v>0</v>
      </c>
      <c r="S24" s="10" t="s">
        <v>1</v>
      </c>
      <c r="T24" s="10" t="s">
        <v>2</v>
      </c>
    </row>
    <row r="25" customFormat="false" ht="50.1" hidden="false" customHeight="true" outlineLevel="0" collapsed="false">
      <c r="A25" s="2"/>
      <c r="B25" s="21" t="n">
        <f aca="true">INDIRECT("ЦельТурыМенеджер"&amp;A21)</f>
        <v>0</v>
      </c>
      <c r="C25" s="21" t="n">
        <f aca="true">INDIRECT("ФактТурыМенеджер"&amp;A21)</f>
        <v>0</v>
      </c>
      <c r="D25" s="22" t="n">
        <f aca="false">IFERROR(C25/B25,0)</f>
        <v>0</v>
      </c>
      <c r="E25" s="86"/>
      <c r="F25" s="21" t="e">
        <f aca="false">B25*НарастающийИтогДоля</f>
        <v>#N/A</v>
      </c>
      <c r="G25" s="21" t="n">
        <f aca="false">C25</f>
        <v>0</v>
      </c>
      <c r="H25" s="22" t="n">
        <f aca="false">IFERROR(G25/F25,0)</f>
        <v>0</v>
      </c>
      <c r="I25" s="86"/>
      <c r="J25" s="21" t="n">
        <f aca="false">SUM(L28:L34)</f>
        <v>0</v>
      </c>
      <c r="K25" s="21" t="n">
        <f aca="false">G25</f>
        <v>0</v>
      </c>
      <c r="L25" s="22" t="n">
        <f aca="false">IFERROR(K25/J25,0)</f>
        <v>0</v>
      </c>
      <c r="N25" s="21" t="n">
        <f aca="true">INDIRECT("ЦельДопыМенеджер"&amp;A21)</f>
        <v>0</v>
      </c>
      <c r="O25" s="21" t="n">
        <f aca="true">INDIRECT("ФактДопыМенеджер"&amp;A21)</f>
        <v>0</v>
      </c>
      <c r="P25" s="22" t="n">
        <f aca="false">IFERROR(O25/N25,0)</f>
        <v>0</v>
      </c>
      <c r="R25" s="21" t="e">
        <f aca="false">N25*НарастающийИтогДоля</f>
        <v>#N/A</v>
      </c>
      <c r="S25" s="21" t="n">
        <f aca="false">O25</f>
        <v>0</v>
      </c>
      <c r="T25" s="85" t="n">
        <f aca="false">IFERROR(S25/R25,0)</f>
        <v>0</v>
      </c>
    </row>
    <row r="26" customFormat="false" ht="20.1" hidden="true" customHeight="true" outlineLevel="1" collapsed="false">
      <c r="A26" s="2"/>
      <c r="R26" s="107"/>
      <c r="S26" s="1"/>
      <c r="T26" s="1"/>
    </row>
    <row r="27" customFormat="false" ht="20.1" hidden="true" customHeight="true" outlineLevel="1" collapsed="false">
      <c r="A27" s="2"/>
      <c r="B27" s="25" t="s">
        <v>31</v>
      </c>
      <c r="C27" s="25"/>
      <c r="D27" s="28" t="str">
        <f aca="true">IF(C25&gt;=INDIRECT("ЗарплатаТурыМега"&amp;A21),"---",IF(0,0,INDEX(INDIRECT("ЗарплатаТурыВсе"&amp;A21),IFERROR(MATCH(C25,INDIRECT("ЗарплатаТурыВсе"&amp;A21),1),0)+1)-C25))</f>
        <v>---</v>
      </c>
      <c r="F27" s="30" t="e">
        <f aca="false">IF(G25&gt;=F25*1.1,"Пока идем с перевыполнением,",IF(G25&gt;=F25*0.9,"Пока мы в плане,","Пока мы отстаем от плана,"))</f>
        <v>#N/A</v>
      </c>
      <c r="G27" s="1"/>
      <c r="H27" s="1"/>
      <c r="J27" s="90" t="s">
        <v>24</v>
      </c>
      <c r="K27" s="90" t="s">
        <v>25</v>
      </c>
      <c r="L27" s="90" t="s">
        <v>26</v>
      </c>
      <c r="N27" s="25" t="s">
        <v>32</v>
      </c>
      <c r="O27" s="25"/>
      <c r="P27" s="28" t="str">
        <f aca="true">IF(O25&gt;=INDIRECT("ЗарплатаДопыМега"&amp;A21),"---",IF(0,0,INDEX(INDIRECT("ЗарплатаДопыВсе"&amp;A21),IFERROR(MATCH(O25,INDIRECT("ЗарплатаДопыВсе"&amp;A21),1),0)+1)-O25))</f>
        <v>---</v>
      </c>
      <c r="R27" s="30" t="e">
        <f aca="false">IF(S25&gt;=R25*1.1,"Пока идем с перевыполнением,",IF(S25&gt;=R25*0.9,"Пока мы в плане,","Пока мы отстаем от плана,"))</f>
        <v>#N/A</v>
      </c>
      <c r="S27" s="1"/>
      <c r="T27" s="1"/>
    </row>
    <row r="28" customFormat="false" ht="20.1" hidden="true" customHeight="true" outlineLevel="1" collapsed="false">
      <c r="A28" s="2"/>
      <c r="B28" s="24" t="s">
        <v>5</v>
      </c>
      <c r="C28" s="25"/>
      <c r="D28" s="31" t="str">
        <f aca="true">IF(C25&gt;=INDIRECT("ЗарплатаТурыМега"&amp;A21),"---",IF(0,0,CHOOSE(IFERROR(MATCH(C25,INDIRECT("ЗарплатаТурыВсе"&amp;A21),1),0)+1,"I","II","III","Цель","Цель+","Цель++","МегаЦель")))</f>
        <v>---</v>
      </c>
      <c r="F28" s="30" t="e">
        <f aca="false">IF(G25&gt;=F25*1.1,"отличный результат!",IF(G25&gt;=F25*0.9,"хороший результат.","надо нагонять."))</f>
        <v>#N/A</v>
      </c>
      <c r="H28" s="1"/>
      <c r="J28" s="91" t="str">
        <f aca="false">Настройки!$B$5</f>
        <v>Соцсети</v>
      </c>
      <c r="K28" s="92" t="n">
        <f aca="true">INDIRECT("ЗаявкиФактКанал1Менеджер"&amp;A21)</f>
        <v>0</v>
      </c>
      <c r="L28" s="93" t="n">
        <f aca="false">K28*СреднийЧек*Настройки!$C$5</f>
        <v>0</v>
      </c>
      <c r="N28" s="24" t="s">
        <v>5</v>
      </c>
      <c r="O28" s="25"/>
      <c r="P28" s="31" t="str">
        <f aca="true">IF(O25&gt;=INDIRECT("ЗарплатаДопыМега"&amp;A21),"---",IF(0,0,CHOOSE(IFERROR(MATCH(O25,INDIRECT("ЗарплатаДопыВсе"&amp;A21),1),0)+1,"I","II","III","Цель","Цель+","Цель++","МегаЦель")))</f>
        <v>---</v>
      </c>
      <c r="R28" s="30" t="e">
        <f aca="false">IF(S25&gt;=R25*1.1,"отличный результат!",IF(S25&gt;=R25*0.9,"хороший результат.","надо нагонять."))</f>
        <v>#N/A</v>
      </c>
      <c r="T28" s="1"/>
    </row>
    <row r="29" customFormat="false" ht="20.1" hidden="true" customHeight="true" outlineLevel="1" collapsed="false">
      <c r="A29" s="2"/>
      <c r="B29" s="25" t="s">
        <v>33</v>
      </c>
      <c r="C29" s="25"/>
      <c r="D29" s="108" t="str">
        <f aca="true">IF(C25&gt;=INDIRECT("ЗарплатаТурыМега"&amp;A21),"---",IF(0,0,INDEX(INDIRECT("БонусыТурыВсе"&amp;A21),IFERROR(MATCH(C25,INDIRECT("ЗарплатаТурыВсе"&amp;A21),1),0)+1)))</f>
        <v>---</v>
      </c>
      <c r="F29" s="30" t="e">
        <f aca="false">IF(G25&gt;=F25*1.1,"Продолжай в том же духе.",IF(G25&gt;=F25*0.9,"Но расслабляться рано!","Позвони клиентам!"))</f>
        <v>#N/A</v>
      </c>
      <c r="G29" s="1"/>
      <c r="H29" s="1"/>
      <c r="J29" s="91" t="str">
        <f aca="false">Настройки!$B$6</f>
        <v>Сайт (директ)</v>
      </c>
      <c r="K29" s="92" t="n">
        <f aca="true">INDIRECT("ЗаявкиФактКанал2Менеджер"&amp;A21)</f>
        <v>0</v>
      </c>
      <c r="L29" s="93" t="n">
        <f aca="false">K29*СреднийЧек*Настройки!$C$6</f>
        <v>0</v>
      </c>
      <c r="N29" s="25" t="s">
        <v>33</v>
      </c>
      <c r="O29" s="25"/>
      <c r="P29" s="108" t="str">
        <f aca="true">IF(O25&gt;=INDIRECT("ЗарплатаДопыМега"&amp;A21),"---",IF(0,0,INDEX(INDIRECT("БонусыДопыВсе"&amp;A21),IFERROR(MATCH(O25,INDIRECT("ЗарплатаДопыВсе"&amp;A21),1),0)+1)))</f>
        <v>---</v>
      </c>
      <c r="R29" s="30" t="e">
        <f aca="false">IF(S25&gt;=R25*1.1,"Продолжай в том же духе.",IF(S25&gt;=R25*0.9,"Но расслабляться рано!","Позвони клиентам!"))</f>
        <v>#N/A</v>
      </c>
      <c r="S29" s="1"/>
      <c r="T29" s="1"/>
    </row>
    <row r="30" customFormat="false" ht="20.1" hidden="true" customHeight="true" outlineLevel="1" collapsed="false">
      <c r="A30" s="2"/>
      <c r="B30" s="109"/>
      <c r="C30" s="109"/>
      <c r="D30" s="109"/>
      <c r="F30" s="1"/>
      <c r="G30" s="1"/>
      <c r="H30" s="1"/>
      <c r="J30" s="91" t="str">
        <f aca="false">Настройки!$B$7</f>
        <v>Сайт (SEO)</v>
      </c>
      <c r="K30" s="92" t="n">
        <f aca="true">INDIRECT("ЗаявкиФактКанал3Менеджер"&amp;A21)</f>
        <v>0</v>
      </c>
      <c r="L30" s="93" t="n">
        <f aca="false">K30*СреднийЧек*Настройки!$C$7</f>
        <v>0</v>
      </c>
      <c r="N30" s="109"/>
      <c r="O30" s="109"/>
      <c r="P30" s="109"/>
      <c r="R30" s="1"/>
      <c r="S30" s="1"/>
      <c r="T30" s="1"/>
    </row>
    <row r="31" customFormat="false" ht="20.1" hidden="true" customHeight="true" outlineLevel="1" collapsed="false">
      <c r="A31" s="2"/>
      <c r="B31" s="110"/>
      <c r="C31" s="110"/>
      <c r="D31" s="110"/>
      <c r="F31" s="110"/>
      <c r="G31" s="110"/>
      <c r="H31" s="110"/>
      <c r="I31" s="16"/>
      <c r="J31" s="91" t="str">
        <f aca="false">Настройки!$B$8</f>
        <v>Instagram</v>
      </c>
      <c r="K31" s="92" t="n">
        <f aca="true">INDIRECT("ЗаявкиФактКанал4Менеджер"&amp;A21)</f>
        <v>0</v>
      </c>
      <c r="L31" s="93" t="n">
        <f aca="false">K31*СреднийЧек*Настройки!$C$8</f>
        <v>0</v>
      </c>
      <c r="M31" s="16"/>
      <c r="N31" s="110"/>
      <c r="O31" s="110"/>
      <c r="P31" s="110"/>
      <c r="R31" s="110"/>
      <c r="S31" s="110"/>
      <c r="T31" s="110"/>
    </row>
    <row r="32" customFormat="false" ht="20.1" hidden="true" customHeight="true" outlineLevel="1" collapsed="false">
      <c r="A32" s="2"/>
      <c r="B32" s="111" t="str">
        <f aca="false">"Персональный план по турам на " &amp;current_month</f>
        <v>Персональный план по турам на </v>
      </c>
      <c r="C32" s="94"/>
      <c r="D32" s="112" t="n">
        <f aca="false">B25</f>
        <v>0</v>
      </c>
      <c r="F32" s="96" t="e">
        <f aca="true">"На " &amp; DAY(TODAY()) &amp;" " &amp; CurrentMonthRod &amp;" план нарастающим итогом"</f>
        <v>#N/A</v>
      </c>
      <c r="G32" s="94"/>
      <c r="H32" s="95" t="e">
        <f aca="false">F25</f>
        <v>#N/A</v>
      </c>
      <c r="I32" s="16"/>
      <c r="J32" s="91" t="str">
        <f aca="false">Настройки!$B$9</f>
        <v>Зашли с улицы</v>
      </c>
      <c r="K32" s="92" t="n">
        <f aca="true">INDIRECT("ЗаявкиФактКанал5Менеджер"&amp;A21)</f>
        <v>0</v>
      </c>
      <c r="L32" s="93" t="n">
        <f aca="false">K32*СреднийЧек*Настройки!$C$9</f>
        <v>0</v>
      </c>
      <c r="M32" s="16"/>
      <c r="N32" s="111" t="str">
        <f aca="false">"Персональный план по допам на " &amp;current_month</f>
        <v>Персональный план по допам на </v>
      </c>
      <c r="O32" s="94"/>
      <c r="P32" s="95" t="n">
        <f aca="false">N25</f>
        <v>0</v>
      </c>
      <c r="R32" s="96" t="e">
        <f aca="true">"На " &amp; DAY(TODAY()) &amp;" " &amp; CurrentMonthRod &amp;" план нарастающим итогом"</f>
        <v>#N/A</v>
      </c>
      <c r="S32" s="94"/>
      <c r="T32" s="95" t="e">
        <f aca="false">R25</f>
        <v>#N/A</v>
      </c>
    </row>
    <row r="33" customFormat="false" ht="20.1" hidden="true" customHeight="true" outlineLevel="1" collapsed="false">
      <c r="A33" s="2"/>
      <c r="B33" s="111" t="s">
        <v>34</v>
      </c>
      <c r="C33" s="94"/>
      <c r="D33" s="112" t="n">
        <f aca="false">C25</f>
        <v>0</v>
      </c>
      <c r="F33" s="98" t="s">
        <v>29</v>
      </c>
      <c r="G33" s="99"/>
      <c r="H33" s="100" t="n">
        <f aca="false">H25</f>
        <v>0</v>
      </c>
      <c r="I33" s="16"/>
      <c r="J33" s="91" t="str">
        <f aca="false">Настройки!$B$10</f>
        <v>По рекомендации</v>
      </c>
      <c r="K33" s="92" t="n">
        <f aca="true">INDIRECT("ЗаявкиФактКанал6Менеджер"&amp;A21)</f>
        <v>0</v>
      </c>
      <c r="L33" s="93" t="n">
        <f aca="false">K33*СреднийЧек*Настройки!$C$10</f>
        <v>0</v>
      </c>
      <c r="M33" s="16"/>
      <c r="N33" s="111" t="s">
        <v>35</v>
      </c>
      <c r="O33" s="94"/>
      <c r="P33" s="97" t="n">
        <f aca="false">O25</f>
        <v>0</v>
      </c>
      <c r="R33" s="98" t="s">
        <v>29</v>
      </c>
      <c r="S33" s="99"/>
      <c r="T33" s="100" t="n">
        <f aca="false">T25</f>
        <v>0</v>
      </c>
    </row>
    <row r="34" customFormat="false" ht="20.1" hidden="true" customHeight="true" outlineLevel="1" collapsed="false">
      <c r="A34" s="2"/>
      <c r="F34" s="98" t="e">
        <f aca="false">IF(G25&lt;F25,"Мы отстаем от плана на","Мы перевыполняем план на")</f>
        <v>#N/A</v>
      </c>
      <c r="G34" s="99"/>
      <c r="H34" s="103" t="e">
        <f aca="false">ROUND(IF(G25&gt;=F25,G25-F25,F25-G25),0)</f>
        <v>#N/A</v>
      </c>
      <c r="I34" s="16"/>
      <c r="J34" s="91" t="str">
        <f aca="false">Настройки!$B$11</f>
        <v>Постоянные клиенты</v>
      </c>
      <c r="K34" s="92" t="n">
        <f aca="true">INDIRECT("ЗаявкиФактКанал7Менеджер"&amp;A21)</f>
        <v>0</v>
      </c>
      <c r="L34" s="93" t="n">
        <f aca="false">K34*СреднийЧек*Настройки!$C$11</f>
        <v>0</v>
      </c>
      <c r="M34" s="16"/>
      <c r="R34" s="98" t="e">
        <f aca="false">IF(S25&lt;R25,"Мы отстаем от плана на","Мы перевыполняем план на")</f>
        <v>#N/A</v>
      </c>
      <c r="S34" s="99"/>
      <c r="T34" s="103" t="e">
        <f aca="false">ROUND(IF(S25&gt;=R25,S25-R25,R25-S25),0)</f>
        <v>#N/A</v>
      </c>
    </row>
    <row r="35" customFormat="false" ht="15" hidden="true" customHeight="true" outlineLevel="1" collapsed="false">
      <c r="A35" s="2"/>
      <c r="B35" s="109"/>
      <c r="C35" s="109"/>
      <c r="D35" s="109"/>
      <c r="F35" s="1"/>
      <c r="G35" s="1"/>
      <c r="H35" s="1"/>
      <c r="I35" s="16"/>
      <c r="J35" s="1"/>
      <c r="K35" s="1"/>
      <c r="L35" s="1"/>
      <c r="M35" s="16"/>
      <c r="N35" s="1"/>
      <c r="O35" s="1"/>
      <c r="P35" s="1"/>
      <c r="R35" s="1"/>
      <c r="S35" s="1"/>
      <c r="T35" s="1"/>
    </row>
    <row r="36" customFormat="false" ht="15" hidden="true" customHeight="true" outlineLevel="1" collapsed="false">
      <c r="A36" s="2"/>
      <c r="B36" s="110"/>
      <c r="C36" s="110"/>
      <c r="D36" s="110"/>
      <c r="F36" s="110"/>
      <c r="G36" s="110"/>
      <c r="H36" s="110"/>
      <c r="I36" s="113"/>
      <c r="J36" s="110"/>
      <c r="K36" s="110"/>
      <c r="L36" s="110"/>
      <c r="M36" s="113"/>
      <c r="N36" s="110"/>
      <c r="O36" s="110"/>
      <c r="P36" s="110"/>
      <c r="Q36" s="113"/>
      <c r="R36" s="110"/>
      <c r="S36" s="110"/>
      <c r="T36" s="110"/>
    </row>
    <row r="37" customFormat="false" ht="20.1" hidden="false" customHeight="true" outlineLevel="0" collapsed="false">
      <c r="A37" s="2"/>
      <c r="B37" s="114" t="e">
        <f aca="true">"На " &amp; DAY(TODAY()) &amp;" " &amp; CurrentMonthRod &amp;" мен-р получил заявок на"</f>
        <v>#N/A</v>
      </c>
      <c r="C37" s="114"/>
      <c r="D37" s="115" t="n">
        <f aca="false">J25</f>
        <v>0</v>
      </c>
      <c r="E37" s="116"/>
      <c r="F37" s="117" t="s">
        <v>36</v>
      </c>
      <c r="G37" s="118"/>
      <c r="H37" s="119" t="n">
        <f aca="false">L25</f>
        <v>0</v>
      </c>
      <c r="I37" s="120"/>
      <c r="J37" s="121" t="str">
        <f aca="false">IF(K25&gt;=J25*1.1,"Конверсия по заявкам высокая,",IF(K25&gt;=J25*0.9,"Конверсия по заявкам нормальная,","Конверсия по заявкам низкая,"))</f>
        <v>Конверсия по заявкам высокая,</v>
      </c>
      <c r="K37" s="122"/>
      <c r="L37" s="122"/>
      <c r="M37" s="118"/>
      <c r="N37" s="121" t="e">
        <f aca="false">IF(J25&gt;=F25*1.1,"заявок в избытке для выполнения плана.",IF(J25&gt;=F25*0.9,"заявок достаточно для выполнения плана.","заявок не хватает для выполнения плана."))</f>
        <v>#N/A</v>
      </c>
      <c r="O37" s="122"/>
      <c r="P37" s="122"/>
      <c r="Q37" s="118"/>
      <c r="R37" s="123" t="e">
        <f aca="false">IF(AND(J37="Конверсия по заявкам низкая,",N37="заявок не хватает для выполнения плана."),"Проведи работу с менеджером и дай еще заявок.", IF(AND(J37="Конверсия по заявкам низкая,",N37="заявок достаточно для выполнения плана."),"Проведи работу с менеджером.", IF(AND(J37="Конверсия по заявкам низкая,",N37="заявок в избытке для выполнения плана."),"Проведи работу с менеджером.", IF(AND(J37="Конверсия по заявкам нормальная,",N37="заявок не хватает для выполнения плана."),"Похвали менеджера и дай еще заявок.", IF(AND(J37="Конверсия по заявкам нормальная,",N37="заявок достаточно для выполнения плана."),"Похвали менеджера.", IF(AND(J37="Конверсия по заявкам нормальная,",N37="заявок в избытке для выполнения плана."),"Похвали менеджера.", IF(AND(J37="Конверсия по заявкам высокая,",N37="заявок не хватает для выполнения плана."),"Похвали менеджера и дай еще заявок.", IF(AND(J37="Конверсия по заявкам высокая,",N37="заявок достаточно для выполнения плана."),"Похвали менеджера.", IF(AND(J37="Конверсия по заявкам высокая,",N37="заявок в избытке для выполнения плана."),"Похвали менеджера.") ))))))))</f>
        <v>#N/A</v>
      </c>
      <c r="S37" s="122"/>
      <c r="T37" s="122"/>
    </row>
    <row r="38" s="1" customFormat="true" ht="15" hidden="false" customHeight="true" outlineLevel="0" collapsed="false">
      <c r="A38" s="2"/>
    </row>
    <row r="39" s="1" customFormat="true" ht="20.1" hidden="false" customHeight="true" outlineLevel="0" collapsed="false">
      <c r="A39" s="2" t="n">
        <f aca="false">A21+1</f>
        <v>2</v>
      </c>
      <c r="B39" s="106" t="str">
        <f aca="true">INDIRECT("Менеджер_"&amp;A39)</f>
        <v>Менеджер2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</row>
    <row r="40" s="1" customFormat="true" ht="15" hidden="false" customHeight="true" outlineLevel="0" collapsed="false">
      <c r="A40" s="2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customFormat="false" ht="20.1" hidden="false" customHeight="true" outlineLevel="0" collapsed="false">
      <c r="A41" s="2"/>
      <c r="B41" s="5" t="str">
        <f aca="false">"План по турам на " &amp; current_month</f>
        <v>План по турам на </v>
      </c>
      <c r="C41" s="5"/>
      <c r="D41" s="5"/>
      <c r="E41" s="6"/>
      <c r="F41" s="7" t="str">
        <f aca="true">"План нарастающим итогом на "&amp;  DAY(TODAY()) &amp; "." &amp;  MONTH(TODAY())</f>
        <v>План нарастающим итогом на 23.8</v>
      </c>
      <c r="G41" s="7"/>
      <c r="H41" s="7"/>
      <c r="I41" s="6"/>
      <c r="J41" s="5" t="str">
        <f aca="true">"План по заявкам на "&amp;  DAY(TODAY()) &amp; "." &amp;  MONTH(TODAY())</f>
        <v>План по заявкам на 23.8</v>
      </c>
      <c r="K41" s="5"/>
      <c r="L41" s="5"/>
      <c r="M41" s="6"/>
      <c r="N41" s="5" t="str">
        <f aca="false">"План по допам на " &amp; current_month</f>
        <v>План по допам на </v>
      </c>
      <c r="O41" s="5"/>
      <c r="P41" s="5"/>
      <c r="R41" s="7" t="str">
        <f aca="true">"План по допам нарастающим итогом на "&amp;  DAY(TODAY()) &amp; "." &amp;  MONTH(TODAY())</f>
        <v>План по допам нарастающим итогом на 23.8</v>
      </c>
      <c r="S41" s="7"/>
      <c r="T41" s="7"/>
    </row>
    <row r="42" customFormat="false" ht="20.1" hidden="false" customHeight="true" outlineLevel="0" collapsed="false">
      <c r="A42" s="2"/>
      <c r="B42" s="10" t="s">
        <v>0</v>
      </c>
      <c r="C42" s="10" t="s">
        <v>1</v>
      </c>
      <c r="D42" s="10" t="s">
        <v>2</v>
      </c>
      <c r="E42" s="11"/>
      <c r="F42" s="10" t="s">
        <v>0</v>
      </c>
      <c r="G42" s="10" t="s">
        <v>1</v>
      </c>
      <c r="H42" s="10" t="s">
        <v>3</v>
      </c>
      <c r="I42" s="11"/>
      <c r="J42" s="10" t="s">
        <v>0</v>
      </c>
      <c r="K42" s="10" t="s">
        <v>1</v>
      </c>
      <c r="L42" s="10" t="s">
        <v>3</v>
      </c>
      <c r="M42" s="11"/>
      <c r="N42" s="10" t="s">
        <v>0</v>
      </c>
      <c r="O42" s="10" t="s">
        <v>1</v>
      </c>
      <c r="P42" s="10" t="s">
        <v>3</v>
      </c>
      <c r="R42" s="10" t="s">
        <v>0</v>
      </c>
      <c r="S42" s="10" t="s">
        <v>1</v>
      </c>
      <c r="T42" s="10" t="s">
        <v>2</v>
      </c>
    </row>
    <row r="43" customFormat="false" ht="50.1" hidden="false" customHeight="true" outlineLevel="0" collapsed="false">
      <c r="A43" s="2"/>
      <c r="B43" s="21" t="n">
        <f aca="true">INDIRECT("ЦельТурыМенеджер"&amp;A39)</f>
        <v>0</v>
      </c>
      <c r="C43" s="21" t="n">
        <f aca="true">INDIRECT("ФактТурыМенеджер"&amp;A39)</f>
        <v>0</v>
      </c>
      <c r="D43" s="22" t="n">
        <f aca="false">IFERROR(C43/B43,0)</f>
        <v>0</v>
      </c>
      <c r="E43" s="86"/>
      <c r="F43" s="21" t="e">
        <f aca="false">B43*НарастающийИтогДоля</f>
        <v>#N/A</v>
      </c>
      <c r="G43" s="21" t="n">
        <f aca="false">C43</f>
        <v>0</v>
      </c>
      <c r="H43" s="22" t="n">
        <f aca="false">IFERROR(G43/F43,0)</f>
        <v>0</v>
      </c>
      <c r="I43" s="86"/>
      <c r="J43" s="21" t="n">
        <f aca="false">SUM(L46:L52)</f>
        <v>0</v>
      </c>
      <c r="K43" s="21" t="n">
        <f aca="false">G43</f>
        <v>0</v>
      </c>
      <c r="L43" s="22" t="n">
        <f aca="false">IFERROR(K43/J43,0)</f>
        <v>0</v>
      </c>
      <c r="N43" s="21" t="n">
        <f aca="true">INDIRECT("ЦельДопыМенеджер"&amp;A39)</f>
        <v>0</v>
      </c>
      <c r="O43" s="21" t="n">
        <f aca="true">INDIRECT("ФактДопыМенеджер"&amp;A39)</f>
        <v>0</v>
      </c>
      <c r="P43" s="22" t="n">
        <f aca="false">IFERROR(O43/N43,0)</f>
        <v>0</v>
      </c>
      <c r="R43" s="21" t="e">
        <f aca="false">N43*НарастающийИтогДоля</f>
        <v>#N/A</v>
      </c>
      <c r="S43" s="21" t="n">
        <f aca="false">O43</f>
        <v>0</v>
      </c>
      <c r="T43" s="85" t="n">
        <f aca="false">IFERROR(S43/R43,0)</f>
        <v>0</v>
      </c>
    </row>
    <row r="44" customFormat="false" ht="20.1" hidden="true" customHeight="true" outlineLevel="1" collapsed="false">
      <c r="A44" s="2"/>
      <c r="R44" s="107"/>
      <c r="S44" s="1"/>
      <c r="T44" s="1"/>
    </row>
    <row r="45" customFormat="false" ht="20.1" hidden="true" customHeight="true" outlineLevel="1" collapsed="false">
      <c r="A45" s="2"/>
      <c r="B45" s="25" t="s">
        <v>31</v>
      </c>
      <c r="C45" s="25"/>
      <c r="D45" s="28" t="str">
        <f aca="true">IF(C43&gt;=INDIRECT("ЗарплатаТурыМега"&amp;A39),"---",IF(0,0,INDEX(INDIRECT("ЗарплатаТурыВсе"&amp;A39),IFERROR(MATCH(C43,INDIRECT("ЗарплатаТурыВсе"&amp;A39),1),0)+1)-C43))</f>
        <v>---</v>
      </c>
      <c r="F45" s="30" t="e">
        <f aca="false">IF(G43&gt;=F43*1.1,"Пока идем с перевыполнением,",IF(G43&gt;=F43*0.9,"Пока мы в плане,","Пока мы отстаем от плана,"))</f>
        <v>#N/A</v>
      </c>
      <c r="G45" s="1"/>
      <c r="H45" s="1"/>
      <c r="J45" s="90" t="s">
        <v>24</v>
      </c>
      <c r="K45" s="90" t="s">
        <v>25</v>
      </c>
      <c r="L45" s="90" t="s">
        <v>26</v>
      </c>
      <c r="N45" s="25" t="s">
        <v>32</v>
      </c>
      <c r="O45" s="25"/>
      <c r="P45" s="28" t="str">
        <f aca="true">IF(O43&gt;=INDIRECT("ЗарплатаДопыМега"&amp;A39),"---",IF(0,0,INDEX(INDIRECT("ЗарплатаДопыВсе"&amp;A39),IFERROR(MATCH(O43,INDIRECT("ЗарплатаДопыВсе"&amp;A39),1),0)+1)-O43))</f>
        <v>---</v>
      </c>
      <c r="R45" s="30" t="e">
        <f aca="false">IF(S43&gt;=R43*1.1,"Пока идем с перевыполнением,",IF(S43&gt;=R43*0.9,"Пока мы в плане,","Пока мы отстаем от плана,"))</f>
        <v>#N/A</v>
      </c>
      <c r="S45" s="1"/>
      <c r="T45" s="1"/>
    </row>
    <row r="46" customFormat="false" ht="20.1" hidden="true" customHeight="true" outlineLevel="1" collapsed="false">
      <c r="A46" s="2"/>
      <c r="B46" s="24" t="s">
        <v>5</v>
      </c>
      <c r="C46" s="25"/>
      <c r="D46" s="31" t="str">
        <f aca="true">IF(C43&gt;=INDIRECT("ЗарплатаТурыМега"&amp;A39),"---",IF(0,0,CHOOSE(IFERROR(MATCH(C43,INDIRECT("ЗарплатаТурыВсе"&amp;A39),1),0)+1,"I","II","III","Цель","Цель+","Цель++","МегаЦель")))</f>
        <v>---</v>
      </c>
      <c r="F46" s="30" t="e">
        <f aca="false">IF(G43&gt;=F43*1.1,"отличный результат!",IF(G43&gt;=F43*0.9,"хороший результат.","надо нагонять."))</f>
        <v>#N/A</v>
      </c>
      <c r="H46" s="1"/>
      <c r="J46" s="91" t="str">
        <f aca="false">Настройки!$B$5</f>
        <v>Соцсети</v>
      </c>
      <c r="K46" s="92" t="n">
        <f aca="true">INDIRECT("ЗаявкиФактКанал1Менеджер"&amp;A39)</f>
        <v>0</v>
      </c>
      <c r="L46" s="93" t="n">
        <f aca="false">K46*СреднийЧек*Настройки!$C$5</f>
        <v>0</v>
      </c>
      <c r="N46" s="24" t="s">
        <v>5</v>
      </c>
      <c r="O46" s="25"/>
      <c r="P46" s="31" t="str">
        <f aca="true">IF(O43&gt;=INDIRECT("ЗарплатаДопыМега"&amp;A39),"---",IF(0,0,CHOOSE(IFERROR(MATCH(O43,INDIRECT("ЗарплатаДопыВсе"&amp;A39),1),0)+1,"I","II","III","Цель","Цель+","Цель++","МегаЦель")))</f>
        <v>---</v>
      </c>
      <c r="R46" s="30" t="e">
        <f aca="false">IF(S43&gt;=R43*1.1,"отличный результат!",IF(S43&gt;=R43*0.9,"хороший результат.","надо нагонять."))</f>
        <v>#N/A</v>
      </c>
      <c r="T46" s="1"/>
    </row>
    <row r="47" customFormat="false" ht="20.1" hidden="true" customHeight="true" outlineLevel="1" collapsed="false">
      <c r="A47" s="2"/>
      <c r="B47" s="25" t="s">
        <v>33</v>
      </c>
      <c r="C47" s="25"/>
      <c r="D47" s="108" t="str">
        <f aca="true">IF(C43&gt;=INDIRECT("ЗарплатаТурыМега"&amp;A39),"---",IF(0,0,INDEX(INDIRECT("БонусыТурыВсе"&amp;A39),IFERROR(MATCH(C43,INDIRECT("ЗарплатаТурыВсе"&amp;A39),1),0)+1)))</f>
        <v>---</v>
      </c>
      <c r="F47" s="30" t="e">
        <f aca="false">IF(G43&gt;=F43*1.1,"Продолжай в том же духе.",IF(G43&gt;=F43*0.9,"Но расслабляться рано!","Позвони клиентам!"))</f>
        <v>#N/A</v>
      </c>
      <c r="G47" s="1"/>
      <c r="H47" s="1"/>
      <c r="J47" s="91" t="str">
        <f aca="false">Настройки!$B$6</f>
        <v>Сайт (директ)</v>
      </c>
      <c r="K47" s="92" t="n">
        <f aca="true">INDIRECT("ЗаявкиФактКанал2Менеджер"&amp;A39)</f>
        <v>0</v>
      </c>
      <c r="L47" s="93" t="n">
        <f aca="false">K47*СреднийЧек*Настройки!$C$6</f>
        <v>0</v>
      </c>
      <c r="N47" s="25" t="s">
        <v>33</v>
      </c>
      <c r="O47" s="25"/>
      <c r="P47" s="108" t="str">
        <f aca="true">IF(O43&gt;=INDIRECT("ЗарплатаДопыМега"&amp;A39),"---",IF(0,0,INDEX(INDIRECT("БонусыДопыВсе"&amp;A39),IFERROR(MATCH(O43,INDIRECT("ЗарплатаДопыВсе"&amp;A39),1),0)+1)))</f>
        <v>---</v>
      </c>
      <c r="R47" s="30" t="e">
        <f aca="false">IF(S43&gt;=R43*1.1,"Продолжай в том же духе.",IF(S43&gt;=R43*0.9,"Но расслабляться рано!","Позвони клиентам!"))</f>
        <v>#N/A</v>
      </c>
      <c r="S47" s="1"/>
      <c r="T47" s="1"/>
    </row>
    <row r="48" customFormat="false" ht="20.1" hidden="true" customHeight="true" outlineLevel="1" collapsed="false">
      <c r="A48" s="2"/>
      <c r="B48" s="109"/>
      <c r="C48" s="109"/>
      <c r="D48" s="109"/>
      <c r="F48" s="1"/>
      <c r="G48" s="1"/>
      <c r="H48" s="1"/>
      <c r="J48" s="91" t="str">
        <f aca="false">Настройки!$B$7</f>
        <v>Сайт (SEO)</v>
      </c>
      <c r="K48" s="92" t="n">
        <f aca="true">INDIRECT("ЗаявкиФактКанал3Менеджер"&amp;A39)</f>
        <v>0</v>
      </c>
      <c r="L48" s="93" t="n">
        <f aca="false">K48*СреднийЧек*Настройки!$C$7</f>
        <v>0</v>
      </c>
      <c r="N48" s="109"/>
      <c r="O48" s="109"/>
      <c r="P48" s="109"/>
      <c r="R48" s="1"/>
      <c r="S48" s="1"/>
      <c r="T48" s="1"/>
    </row>
    <row r="49" customFormat="false" ht="20.1" hidden="true" customHeight="true" outlineLevel="1" collapsed="false">
      <c r="A49" s="2"/>
      <c r="B49" s="110"/>
      <c r="C49" s="110"/>
      <c r="D49" s="110"/>
      <c r="F49" s="110"/>
      <c r="G49" s="110"/>
      <c r="H49" s="110"/>
      <c r="I49" s="16"/>
      <c r="J49" s="91" t="str">
        <f aca="false">Настройки!$B$8</f>
        <v>Instagram</v>
      </c>
      <c r="K49" s="92" t="n">
        <f aca="true">INDIRECT("ЗаявкиФактКанал4Менеджер"&amp;A39)</f>
        <v>0</v>
      </c>
      <c r="L49" s="93" t="n">
        <f aca="false">K49*СреднийЧек*Настройки!$C$8</f>
        <v>0</v>
      </c>
      <c r="M49" s="16"/>
      <c r="N49" s="110"/>
      <c r="O49" s="110"/>
      <c r="P49" s="110"/>
      <c r="R49" s="110"/>
      <c r="S49" s="110"/>
      <c r="T49" s="110"/>
    </row>
    <row r="50" customFormat="false" ht="20.1" hidden="true" customHeight="true" outlineLevel="1" collapsed="false">
      <c r="A50" s="2"/>
      <c r="B50" s="111" t="str">
        <f aca="false">"Персональный план по турам на " &amp;current_month</f>
        <v>Персональный план по турам на </v>
      </c>
      <c r="C50" s="94"/>
      <c r="D50" s="112" t="n">
        <f aca="false">B43</f>
        <v>0</v>
      </c>
      <c r="F50" s="96" t="e">
        <f aca="true">"На " &amp; DAY(TODAY()) &amp;" " &amp; CurrentMonthRod &amp;" план нарастающим итогом"</f>
        <v>#N/A</v>
      </c>
      <c r="G50" s="94"/>
      <c r="H50" s="95" t="e">
        <f aca="false">F43</f>
        <v>#N/A</v>
      </c>
      <c r="I50" s="16"/>
      <c r="J50" s="91" t="str">
        <f aca="false">Настройки!$B$9</f>
        <v>Зашли с улицы</v>
      </c>
      <c r="K50" s="92" t="n">
        <f aca="true">INDIRECT("ЗаявкиФактКанал5Менеджер"&amp;A39)</f>
        <v>0</v>
      </c>
      <c r="L50" s="93" t="n">
        <f aca="false">K50*СреднийЧек*Настройки!$C$9</f>
        <v>0</v>
      </c>
      <c r="M50" s="16"/>
      <c r="N50" s="111" t="str">
        <f aca="false">"Персональный план по допам на " &amp;current_month</f>
        <v>Персональный план по допам на </v>
      </c>
      <c r="O50" s="94"/>
      <c r="P50" s="95" t="n">
        <f aca="false">N43</f>
        <v>0</v>
      </c>
      <c r="R50" s="96" t="e">
        <f aca="true">"На " &amp; DAY(TODAY()) &amp;" " &amp; CurrentMonthRod &amp;" план нарастающим итогом"</f>
        <v>#N/A</v>
      </c>
      <c r="S50" s="94"/>
      <c r="T50" s="95" t="e">
        <f aca="false">R43</f>
        <v>#N/A</v>
      </c>
    </row>
    <row r="51" customFormat="false" ht="20.1" hidden="true" customHeight="true" outlineLevel="1" collapsed="false">
      <c r="A51" s="2"/>
      <c r="B51" s="111" t="s">
        <v>34</v>
      </c>
      <c r="C51" s="94"/>
      <c r="D51" s="112" t="n">
        <f aca="false">C43</f>
        <v>0</v>
      </c>
      <c r="F51" s="98" t="s">
        <v>29</v>
      </c>
      <c r="G51" s="99"/>
      <c r="H51" s="100" t="n">
        <f aca="false">H43</f>
        <v>0</v>
      </c>
      <c r="I51" s="16"/>
      <c r="J51" s="91" t="str">
        <f aca="false">Настройки!$B$10</f>
        <v>По рекомендации</v>
      </c>
      <c r="K51" s="92" t="n">
        <f aca="true">INDIRECT("ЗаявкиФактКанал6Менеджер"&amp;A39)</f>
        <v>0</v>
      </c>
      <c r="L51" s="93" t="n">
        <f aca="false">K51*СреднийЧек*Настройки!$C$10</f>
        <v>0</v>
      </c>
      <c r="M51" s="16"/>
      <c r="N51" s="111" t="s">
        <v>35</v>
      </c>
      <c r="O51" s="94"/>
      <c r="P51" s="97" t="n">
        <f aca="false">O43</f>
        <v>0</v>
      </c>
      <c r="R51" s="98" t="s">
        <v>29</v>
      </c>
      <c r="S51" s="99"/>
      <c r="T51" s="100" t="n">
        <f aca="false">T43</f>
        <v>0</v>
      </c>
    </row>
    <row r="52" customFormat="false" ht="20.1" hidden="true" customHeight="true" outlineLevel="1" collapsed="false">
      <c r="A52" s="2"/>
      <c r="F52" s="98" t="e">
        <f aca="false">IF(G43&lt;F43,"Мы отстаем от плана на","Мы перевыполняем план на")</f>
        <v>#N/A</v>
      </c>
      <c r="G52" s="99"/>
      <c r="H52" s="103" t="e">
        <f aca="false">ROUND(IF(G43&gt;=F43,G43-F43,F43-G43),0)</f>
        <v>#N/A</v>
      </c>
      <c r="I52" s="16"/>
      <c r="J52" s="91" t="str">
        <f aca="false">Настройки!$B$11</f>
        <v>Постоянные клиенты</v>
      </c>
      <c r="K52" s="92" t="n">
        <f aca="true">INDIRECT("ЗаявкиФактКанал7Менеджер"&amp;A39)</f>
        <v>0</v>
      </c>
      <c r="L52" s="93" t="n">
        <f aca="false">K52*СреднийЧек*Настройки!$C$11</f>
        <v>0</v>
      </c>
      <c r="M52" s="16"/>
      <c r="R52" s="98" t="e">
        <f aca="false">IF(S43&lt;R43,"Мы отстаем от плана на","Мы перевыполняем план на")</f>
        <v>#N/A</v>
      </c>
      <c r="S52" s="99"/>
      <c r="T52" s="103" t="e">
        <f aca="false">ROUND(IF(S43&gt;=R43,S43-R43,R43-S43),0)</f>
        <v>#N/A</v>
      </c>
    </row>
    <row r="53" customFormat="false" ht="15" hidden="true" customHeight="true" outlineLevel="1" collapsed="false">
      <c r="A53" s="2"/>
      <c r="B53" s="109"/>
      <c r="C53" s="109"/>
      <c r="D53" s="109"/>
      <c r="F53" s="1"/>
      <c r="G53" s="1"/>
      <c r="H53" s="1"/>
      <c r="I53" s="16"/>
      <c r="J53" s="1"/>
      <c r="K53" s="1"/>
      <c r="L53" s="1"/>
      <c r="M53" s="16"/>
      <c r="N53" s="1"/>
      <c r="O53" s="1"/>
      <c r="P53" s="1"/>
      <c r="R53" s="1"/>
      <c r="S53" s="1"/>
      <c r="T53" s="1"/>
    </row>
    <row r="54" customFormat="false" ht="15" hidden="true" customHeight="true" outlineLevel="1" collapsed="false">
      <c r="A54" s="2"/>
      <c r="B54" s="110"/>
      <c r="C54" s="110"/>
      <c r="D54" s="110"/>
      <c r="F54" s="110"/>
      <c r="G54" s="110"/>
      <c r="H54" s="110"/>
      <c r="I54" s="113"/>
      <c r="J54" s="110"/>
      <c r="K54" s="110"/>
      <c r="L54" s="110"/>
      <c r="M54" s="113"/>
      <c r="N54" s="110"/>
      <c r="O54" s="110"/>
      <c r="P54" s="110"/>
      <c r="Q54" s="113"/>
      <c r="R54" s="110"/>
      <c r="S54" s="110"/>
      <c r="T54" s="110"/>
    </row>
    <row r="55" customFormat="false" ht="20.1" hidden="false" customHeight="true" outlineLevel="0" collapsed="false">
      <c r="A55" s="2"/>
      <c r="B55" s="114" t="e">
        <f aca="true">"На " &amp; DAY(TODAY()) &amp;" " &amp; CurrentMonthRod &amp;" мен-р получил заявок на"</f>
        <v>#N/A</v>
      </c>
      <c r="C55" s="114"/>
      <c r="D55" s="115" t="n">
        <f aca="false">J43</f>
        <v>0</v>
      </c>
      <c r="E55" s="116"/>
      <c r="F55" s="117" t="s">
        <v>36</v>
      </c>
      <c r="G55" s="118"/>
      <c r="H55" s="119" t="n">
        <f aca="false">L43</f>
        <v>0</v>
      </c>
      <c r="I55" s="120"/>
      <c r="J55" s="121" t="str">
        <f aca="false">IF(K43&gt;=J43*1.1,"Конверсия по заявкам высокая,",IF(K43&gt;=J43*0.9,"Конверсия по заявкам нормальная,","Конверсия по заявкам низкая,"))</f>
        <v>Конверсия по заявкам высокая,</v>
      </c>
      <c r="K55" s="122"/>
      <c r="L55" s="122"/>
      <c r="M55" s="118"/>
      <c r="N55" s="121" t="e">
        <f aca="false">IF(J43&gt;=F43*1.1,"заявок в избытке для выполнения плана.",IF(J43&gt;=F43*0.9,"заявок достаточно для выполнения плана.","заявок не хватает для выполнения плана."))</f>
        <v>#N/A</v>
      </c>
      <c r="O55" s="122"/>
      <c r="P55" s="122"/>
      <c r="Q55" s="118"/>
      <c r="R55" s="123" t="e">
        <f aca="false">IF(AND(J55="Конверсия по заявкам низкая,",N55="заявок не хватает для выполнения плана."),"Проведи работу с менеджером и дай еще заявок.", IF(AND(J55="Конверсия по заявкам низкая,",N55="заявок достаточно для выполнения плана."),"Проведи работу с менеджером.", IF(AND(J55="Конверсия по заявкам низкая,",N55="заявок в избытке для выполнения плана."),"Проведи работу с менеджером.", IF(AND(J55="Конверсия по заявкам нормальная,",N55="заявок не хватает для выполнения плана."),"Похвали менеджера и дай еще заявок.", IF(AND(J55="Конверсия по заявкам нормальная,",N55="заявок достаточно для выполнения плана."),"Похвали менеджера.", IF(AND(J55="Конверсия по заявкам нормальная,",N55="заявок в избытке для выполнения плана."),"Похвали менеджера.", IF(AND(J55="Конверсия по заявкам высокая,",N55="заявок не хватает для выполнения плана."),"Похвали менеджера и дай еще заявок.", IF(AND(J55="Конверсия по заявкам высокая,",N55="заявок достаточно для выполнения плана."),"Похвали менеджера.", IF(AND(J55="Конверсия по заявкам высокая,",N55="заявок в избытке для выполнения плана."),"Похвали менеджера.") ))))))))</f>
        <v>#N/A</v>
      </c>
      <c r="S55" s="122"/>
      <c r="T55" s="122"/>
    </row>
  </sheetData>
  <mergeCells count="20">
    <mergeCell ref="B2:T2"/>
    <mergeCell ref="B4:D4"/>
    <mergeCell ref="F4:H4"/>
    <mergeCell ref="J4:L4"/>
    <mergeCell ref="N4:P4"/>
    <mergeCell ref="R4:T4"/>
    <mergeCell ref="J18:M18"/>
    <mergeCell ref="J19:L19"/>
    <mergeCell ref="B21:T21"/>
    <mergeCell ref="B23:D23"/>
    <mergeCell ref="F23:H23"/>
    <mergeCell ref="J23:L23"/>
    <mergeCell ref="N23:P23"/>
    <mergeCell ref="R23:T23"/>
    <mergeCell ref="B39:T39"/>
    <mergeCell ref="B41:D41"/>
    <mergeCell ref="F41:H41"/>
    <mergeCell ref="J41:L41"/>
    <mergeCell ref="N41:P41"/>
    <mergeCell ref="R41:T41"/>
  </mergeCells>
  <conditionalFormatting sqref="B6:D6">
    <cfRule type="expression" priority="2" aboveAverage="0" equalAverage="0" bottom="0" percent="0" rank="0" text="" dxfId="54">
      <formula>$D6&lt;1</formula>
    </cfRule>
    <cfRule type="expression" priority="3" aboveAverage="0" equalAverage="0" bottom="0" percent="0" rank="0" text="" dxfId="55">
      <formula>$D6&gt;=1</formula>
    </cfRule>
  </conditionalFormatting>
  <conditionalFormatting sqref="J6:L6">
    <cfRule type="expression" priority="4" aboveAverage="0" equalAverage="0" bottom="0" percent="0" rank="0" text="" dxfId="56">
      <formula>$L6&lt;0.9</formula>
    </cfRule>
    <cfRule type="expression" priority="5" aboveAverage="0" equalAverage="0" bottom="0" percent="0" rank="0" text="" dxfId="57">
      <formula>$L6&lt;=1.1</formula>
    </cfRule>
    <cfRule type="expression" priority="6" aboveAverage="0" equalAverage="0" bottom="0" percent="0" rank="0" text="" dxfId="58">
      <formula>$L6&gt;1.1</formula>
    </cfRule>
  </conditionalFormatting>
  <conditionalFormatting sqref="F25:H25">
    <cfRule type="expression" priority="7" aboveAverage="0" equalAverage="0" bottom="0" percent="0" rank="0" text="" dxfId="59">
      <formula>$H25&lt;0.9</formula>
    </cfRule>
    <cfRule type="expression" priority="8" aboveAverage="0" equalAverage="0" bottom="0" percent="0" rank="0" text="" dxfId="60">
      <formula>$H25&lt;=1.1</formula>
    </cfRule>
    <cfRule type="expression" priority="9" aboveAverage="0" equalAverage="0" bottom="0" percent="0" rank="0" text="" dxfId="61">
      <formula>$H25&gt;1.1</formula>
    </cfRule>
  </conditionalFormatting>
  <conditionalFormatting sqref="N25:P25">
    <cfRule type="expression" priority="10" aboveAverage="0" equalAverage="0" bottom="0" percent="0" rank="0" text="" dxfId="62">
      <formula>$P25&lt;1</formula>
    </cfRule>
    <cfRule type="expression" priority="11" aboveAverage="0" equalAverage="0" bottom="0" percent="0" rank="0" text="" dxfId="63">
      <formula>$P25&gt;=1</formula>
    </cfRule>
  </conditionalFormatting>
  <conditionalFormatting sqref="N6:P6">
    <cfRule type="expression" priority="12" aboveAverage="0" equalAverage="0" bottom="0" percent="0" rank="0" text="" dxfId="64">
      <formula>$P6&lt;1</formula>
    </cfRule>
    <cfRule type="expression" priority="13" aboveAverage="0" equalAverage="0" bottom="0" percent="0" rank="0" text="" dxfId="65">
      <formula>$P6&gt;=1</formula>
    </cfRule>
  </conditionalFormatting>
  <conditionalFormatting sqref="J37">
    <cfRule type="cellIs" priority="14" operator="equal" aboveAverage="0" equalAverage="0" bottom="0" percent="0" rank="0" text="" dxfId="66">
      <formula>"Конверсия по заявкам низкая,"</formula>
    </cfRule>
  </conditionalFormatting>
  <conditionalFormatting sqref="N37">
    <cfRule type="cellIs" priority="15" operator="equal" aboveAverage="0" equalAverage="0" bottom="0" percent="0" rank="0" text="" dxfId="67">
      <formula>"заявок не хватает для выполнения плана."</formula>
    </cfRule>
  </conditionalFormatting>
  <conditionalFormatting sqref="F27">
    <cfRule type="expression" priority="16" aboveAverage="0" equalAverage="0" bottom="0" percent="0" rank="0" text="" dxfId="68">
      <formula>G25&lt;F25*0.9</formula>
    </cfRule>
    <cfRule type="expression" priority="17" aboveAverage="0" equalAverage="0" bottom="0" percent="0" rank="0" text="" dxfId="69">
      <formula>G25&gt;=F25*0.9</formula>
    </cfRule>
  </conditionalFormatting>
  <conditionalFormatting sqref="F28">
    <cfRule type="expression" priority="18" aboveAverage="0" equalAverage="0" bottom="0" percent="0" rank="0" text="" dxfId="70">
      <formula>G25&lt;F25*0.9</formula>
    </cfRule>
    <cfRule type="expression" priority="19" aboveAverage="0" equalAverage="0" bottom="0" percent="0" rank="0" text="" dxfId="71">
      <formula>G25&gt;=F25*0.9</formula>
    </cfRule>
  </conditionalFormatting>
  <conditionalFormatting sqref="F29">
    <cfRule type="expression" priority="20" aboveAverage="0" equalAverage="0" bottom="0" percent="0" rank="0" text="" dxfId="72">
      <formula>G25&lt;F25*0.9</formula>
    </cfRule>
    <cfRule type="expression" priority="21" aboveAverage="0" equalAverage="0" bottom="0" percent="0" rank="0" text="" dxfId="73">
      <formula>G25&gt;=F25*0.9</formula>
    </cfRule>
  </conditionalFormatting>
  <conditionalFormatting sqref="H18">
    <cfRule type="cellIs" priority="22" operator="greaterThanOrEqual" aboveAverage="0" equalAverage="0" bottom="0" percent="0" rank="0" text="" dxfId="74">
      <formula>1</formula>
    </cfRule>
  </conditionalFormatting>
  <conditionalFormatting sqref="H19">
    <cfRule type="expression" priority="23" aboveAverage="0" equalAverage="0" bottom="0" percent="0" rank="0" text="" dxfId="75">
      <formula>$G6&gt;=$F6</formula>
    </cfRule>
  </conditionalFormatting>
  <conditionalFormatting sqref="J18:M18">
    <cfRule type="expression" priority="24" aboveAverage="0" equalAverage="0" bottom="0" percent="0" rank="0" text="" dxfId="76">
      <formula>$L$6&gt;=1</formula>
    </cfRule>
  </conditionalFormatting>
  <conditionalFormatting sqref="J19:L19">
    <cfRule type="expression" priority="25" aboveAverage="0" equalAverage="0" bottom="0" percent="0" rank="0" text="" dxfId="77">
      <formula>$J$6&gt;=$F$6</formula>
    </cfRule>
  </conditionalFormatting>
  <conditionalFormatting sqref="T18">
    <cfRule type="cellIs" priority="26" operator="greaterThanOrEqual" aboveAverage="0" equalAverage="0" bottom="0" percent="0" rank="0" text="" dxfId="78">
      <formula>1</formula>
    </cfRule>
  </conditionalFormatting>
  <conditionalFormatting sqref="T19">
    <cfRule type="expression" priority="27" aboveAverage="0" equalAverage="0" bottom="0" percent="0" rank="0" text="" dxfId="79">
      <formula>$G6&gt;=$F6</formula>
    </cfRule>
  </conditionalFormatting>
  <conditionalFormatting sqref="H33">
    <cfRule type="cellIs" priority="28" operator="greaterThanOrEqual" aboveAverage="0" equalAverage="0" bottom="0" percent="0" rank="0" text="" dxfId="80">
      <formula>1</formula>
    </cfRule>
  </conditionalFormatting>
  <conditionalFormatting sqref="H37">
    <cfRule type="cellIs" priority="29" operator="greaterThanOrEqual" aboveAverage="0" equalAverage="0" bottom="0" percent="0" rank="0" text="" dxfId="81">
      <formula>1</formula>
    </cfRule>
  </conditionalFormatting>
  <conditionalFormatting sqref="T33">
    <cfRule type="cellIs" priority="30" operator="greaterThanOrEqual" aboveAverage="0" equalAverage="0" bottom="0" percent="0" rank="0" text="" dxfId="82">
      <formula>1</formula>
    </cfRule>
  </conditionalFormatting>
  <conditionalFormatting sqref="H34">
    <cfRule type="expression" priority="31" aboveAverage="0" equalAverage="0" bottom="0" percent="0" rank="0" text="" dxfId="83">
      <formula>$G25&gt;=$F25</formula>
    </cfRule>
  </conditionalFormatting>
  <conditionalFormatting sqref="T34">
    <cfRule type="expression" priority="32" aboveAverage="0" equalAverage="0" bottom="0" percent="0" rank="0" text="" dxfId="84">
      <formula>$G25&gt;=$F25</formula>
    </cfRule>
  </conditionalFormatting>
  <conditionalFormatting sqref="R27">
    <cfRule type="expression" priority="33" aboveAverage="0" equalAverage="0" bottom="0" percent="0" rank="0" text="" dxfId="85">
      <formula>S25&lt;R25*0.9</formula>
    </cfRule>
    <cfRule type="expression" priority="34" aboveAverage="0" equalAverage="0" bottom="0" percent="0" rank="0" text="" dxfId="86">
      <formula>S25&gt;=R25*0.9</formula>
    </cfRule>
  </conditionalFormatting>
  <conditionalFormatting sqref="R28">
    <cfRule type="expression" priority="35" aboveAverage="0" equalAverage="0" bottom="0" percent="0" rank="0" text="" dxfId="87">
      <formula>S25&lt;R25*0.9</formula>
    </cfRule>
    <cfRule type="expression" priority="36" aboveAverage="0" equalAverage="0" bottom="0" percent="0" rank="0" text="" dxfId="88">
      <formula>S25&gt;=R25*0.9</formula>
    </cfRule>
  </conditionalFormatting>
  <conditionalFormatting sqref="R29">
    <cfRule type="expression" priority="37" aboveAverage="0" equalAverage="0" bottom="0" percent="0" rank="0" text="" dxfId="89">
      <formula>S25&lt;R25*0.9</formula>
    </cfRule>
    <cfRule type="expression" priority="38" aboveAverage="0" equalAverage="0" bottom="0" percent="0" rank="0" text="" dxfId="90">
      <formula>S25&gt;=R25*0.9</formula>
    </cfRule>
  </conditionalFormatting>
  <conditionalFormatting sqref="J55">
    <cfRule type="cellIs" priority="39" operator="equal" aboveAverage="0" equalAverage="0" bottom="0" percent="0" rank="0" text="" dxfId="91">
      <formula>"Конверсия по заявкам низкая,"</formula>
    </cfRule>
  </conditionalFormatting>
  <conditionalFormatting sqref="N55">
    <cfRule type="cellIs" priority="40" operator="equal" aboveAverage="0" equalAverage="0" bottom="0" percent="0" rank="0" text="" dxfId="92">
      <formula>"заявок не хватает для выполнения плана."</formula>
    </cfRule>
  </conditionalFormatting>
  <conditionalFormatting sqref="F45">
    <cfRule type="expression" priority="41" aboveAverage="0" equalAverage="0" bottom="0" percent="0" rank="0" text="" dxfId="93">
      <formula>G43&lt;F43*0.9</formula>
    </cfRule>
    <cfRule type="expression" priority="42" aboveAverage="0" equalAverage="0" bottom="0" percent="0" rank="0" text="" dxfId="94">
      <formula>G43&gt;=F43*0.9</formula>
    </cfRule>
  </conditionalFormatting>
  <conditionalFormatting sqref="F46">
    <cfRule type="expression" priority="43" aboveAverage="0" equalAverage="0" bottom="0" percent="0" rank="0" text="" dxfId="95">
      <formula>G43&lt;F43*0.9</formula>
    </cfRule>
    <cfRule type="expression" priority="44" aboveAverage="0" equalAverage="0" bottom="0" percent="0" rank="0" text="" dxfId="96">
      <formula>G43&gt;=F43*0.9</formula>
    </cfRule>
  </conditionalFormatting>
  <conditionalFormatting sqref="F47">
    <cfRule type="expression" priority="45" aboveAverage="0" equalAverage="0" bottom="0" percent="0" rank="0" text="" dxfId="97">
      <formula>G43&lt;F43*0.9</formula>
    </cfRule>
    <cfRule type="expression" priority="46" aboveAverage="0" equalAverage="0" bottom="0" percent="0" rank="0" text="" dxfId="98">
      <formula>G43&gt;=F43*0.9</formula>
    </cfRule>
  </conditionalFormatting>
  <conditionalFormatting sqref="H51">
    <cfRule type="cellIs" priority="47" operator="greaterThanOrEqual" aboveAverage="0" equalAverage="0" bottom="0" percent="0" rank="0" text="" dxfId="99">
      <formula>1</formula>
    </cfRule>
  </conditionalFormatting>
  <conditionalFormatting sqref="H55">
    <cfRule type="cellIs" priority="48" operator="greaterThanOrEqual" aboveAverage="0" equalAverage="0" bottom="0" percent="0" rank="0" text="" dxfId="100">
      <formula>1</formula>
    </cfRule>
  </conditionalFormatting>
  <conditionalFormatting sqref="T51">
    <cfRule type="cellIs" priority="49" operator="greaterThanOrEqual" aboveAverage="0" equalAverage="0" bottom="0" percent="0" rank="0" text="" dxfId="101">
      <formula>1</formula>
    </cfRule>
  </conditionalFormatting>
  <conditionalFormatting sqref="H52">
    <cfRule type="expression" priority="50" aboveAverage="0" equalAverage="0" bottom="0" percent="0" rank="0" text="" dxfId="102">
      <formula>$G43&gt;=$F43</formula>
    </cfRule>
  </conditionalFormatting>
  <conditionalFormatting sqref="T52">
    <cfRule type="expression" priority="51" aboveAverage="0" equalAverage="0" bottom="0" percent="0" rank="0" text="" dxfId="103">
      <formula>$G43&gt;=$F43</formula>
    </cfRule>
  </conditionalFormatting>
  <conditionalFormatting sqref="R45">
    <cfRule type="expression" priority="52" aboveAverage="0" equalAverage="0" bottom="0" percent="0" rank="0" text="" dxfId="104">
      <formula>S43&lt;R43*0.9</formula>
    </cfRule>
    <cfRule type="expression" priority="53" aboveAverage="0" equalAverage="0" bottom="0" percent="0" rank="0" text="" dxfId="105">
      <formula>S43&gt;=R43*0.9</formula>
    </cfRule>
  </conditionalFormatting>
  <conditionalFormatting sqref="R46">
    <cfRule type="expression" priority="54" aboveAverage="0" equalAverage="0" bottom="0" percent="0" rank="0" text="" dxfId="106">
      <formula>S43&lt;R43*0.9</formula>
    </cfRule>
    <cfRule type="expression" priority="55" aboveAverage="0" equalAverage="0" bottom="0" percent="0" rank="0" text="" dxfId="107">
      <formula>S43&gt;=R43*0.9</formula>
    </cfRule>
  </conditionalFormatting>
  <conditionalFormatting sqref="R47">
    <cfRule type="expression" priority="56" aboveAverage="0" equalAverage="0" bottom="0" percent="0" rank="0" text="" dxfId="108">
      <formula>S43&lt;R43*0.9</formula>
    </cfRule>
    <cfRule type="expression" priority="57" aboveAverage="0" equalAverage="0" bottom="0" percent="0" rank="0" text="" dxfId="109">
      <formula>S43&gt;=R43*0.9</formula>
    </cfRule>
  </conditionalFormatting>
  <conditionalFormatting sqref="F43:H43">
    <cfRule type="expression" priority="58" aboveAverage="0" equalAverage="0" bottom="0" percent="0" rank="0" text="" dxfId="110">
      <formula>$H43&lt;0.9</formula>
    </cfRule>
    <cfRule type="expression" priority="59" aboveAverage="0" equalAverage="0" bottom="0" percent="0" rank="0" text="" dxfId="111">
      <formula>$H43&lt;=1.1</formula>
    </cfRule>
    <cfRule type="expression" priority="60" aboveAverage="0" equalAverage="0" bottom="0" percent="0" rank="0" text="" dxfId="112">
      <formula>$H43&gt;1.1</formula>
    </cfRule>
  </conditionalFormatting>
  <conditionalFormatting sqref="N43:P43">
    <cfRule type="expression" priority="61" aboveAverage="0" equalAverage="0" bottom="0" percent="0" rank="0" text="" dxfId="113">
      <formula>$P43&lt;1</formula>
    </cfRule>
    <cfRule type="expression" priority="62" aboveAverage="0" equalAverage="0" bottom="0" percent="0" rank="0" text="" dxfId="114">
      <formula>$P43&gt;=1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2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60" activeCellId="0" sqref="H60"/>
    </sheetView>
  </sheetViews>
  <sheetFormatPr defaultRowHeight="15.75" zeroHeight="false" outlineLevelRow="1" outlineLevelCol="0"/>
  <cols>
    <col collapsed="false" customWidth="true" hidden="false" outlineLevel="0" max="1" min="1" style="1" width="1.13"/>
    <col collapsed="false" customWidth="true" hidden="false" outlineLevel="0" max="2" min="2" style="0" width="4"/>
    <col collapsed="false" customWidth="true" hidden="false" outlineLevel="0" max="3" min="3" style="0" width="18.38"/>
    <col collapsed="false" customWidth="true" hidden="false" outlineLevel="0" max="34" min="4" style="0" width="6"/>
    <col collapsed="false" customWidth="true" hidden="false" outlineLevel="0" max="35" min="35" style="0" width="8.5"/>
    <col collapsed="false" customWidth="true" hidden="false" outlineLevel="0" max="36" min="36" style="0" width="4"/>
    <col collapsed="false" customWidth="true" hidden="false" outlineLevel="0" max="1025" min="37" style="0" width="11"/>
  </cols>
  <sheetData>
    <row r="1" s="1" customFormat="true" ht="6.95" hidden="false" customHeight="true" outlineLevel="0" collapsed="false"/>
    <row r="2" customFormat="false" ht="33" hidden="false" customHeight="true" outlineLevel="0" collapsed="false">
      <c r="B2" s="124" t="s">
        <v>37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</row>
    <row r="3" s="109" customFormat="true" ht="6.95" hidden="false" customHeight="true" outlineLevel="0" collapsed="false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</row>
    <row r="4" customFormat="false" ht="15" hidden="false" customHeight="true" outlineLevel="0" collapsed="false">
      <c r="B4" s="126" t="s">
        <v>38</v>
      </c>
      <c r="C4" s="126"/>
      <c r="D4" s="127" t="n">
        <v>1</v>
      </c>
      <c r="E4" s="128" t="n">
        <v>2</v>
      </c>
      <c r="F4" s="128" t="n">
        <v>3</v>
      </c>
      <c r="G4" s="128" t="n">
        <v>4</v>
      </c>
      <c r="H4" s="128" t="n">
        <v>5</v>
      </c>
      <c r="I4" s="128" t="n">
        <v>6</v>
      </c>
      <c r="J4" s="128" t="n">
        <v>7</v>
      </c>
      <c r="K4" s="128" t="n">
        <v>8</v>
      </c>
      <c r="L4" s="128" t="n">
        <v>9</v>
      </c>
      <c r="M4" s="128" t="n">
        <v>10</v>
      </c>
      <c r="N4" s="128" t="n">
        <v>11</v>
      </c>
      <c r="O4" s="128" t="n">
        <v>12</v>
      </c>
      <c r="P4" s="128" t="n">
        <v>13</v>
      </c>
      <c r="Q4" s="128" t="n">
        <v>14</v>
      </c>
      <c r="R4" s="128" t="n">
        <v>15</v>
      </c>
      <c r="S4" s="128" t="n">
        <v>16</v>
      </c>
      <c r="T4" s="128" t="n">
        <v>17</v>
      </c>
      <c r="U4" s="128" t="n">
        <v>18</v>
      </c>
      <c r="V4" s="128" t="n">
        <v>19</v>
      </c>
      <c r="W4" s="128" t="n">
        <v>20</v>
      </c>
      <c r="X4" s="128" t="n">
        <v>21</v>
      </c>
      <c r="Y4" s="128" t="n">
        <v>22</v>
      </c>
      <c r="Z4" s="128" t="n">
        <v>23</v>
      </c>
      <c r="AA4" s="128" t="n">
        <v>24</v>
      </c>
      <c r="AB4" s="128" t="n">
        <v>25</v>
      </c>
      <c r="AC4" s="128" t="n">
        <v>26</v>
      </c>
      <c r="AD4" s="128" t="n">
        <v>27</v>
      </c>
      <c r="AE4" s="128" t="n">
        <v>28</v>
      </c>
      <c r="AF4" s="128" t="n">
        <v>29</v>
      </c>
      <c r="AG4" s="128" t="n">
        <v>30</v>
      </c>
      <c r="AH4" s="128" t="n">
        <v>31</v>
      </c>
      <c r="AI4" s="129" t="s">
        <v>39</v>
      </c>
    </row>
    <row r="5" customFormat="false" ht="15" hidden="true" customHeight="true" outlineLevel="1" collapsed="false">
      <c r="B5" s="130" t="str">
        <f aca="false">Менеджер_1</f>
        <v>Менеджер1</v>
      </c>
      <c r="C5" s="131" t="str">
        <f aca="false">Настройки!$B$5</f>
        <v>Соцсети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3" t="n">
        <f aca="false">SUM(D5:AH5)</f>
        <v>0</v>
      </c>
      <c r="AJ5" s="134"/>
    </row>
    <row r="6" customFormat="false" ht="15" hidden="true" customHeight="true" outlineLevel="1" collapsed="false">
      <c r="B6" s="130"/>
      <c r="C6" s="135" t="str">
        <f aca="false">Настройки!$B$6</f>
        <v>Сайт (директ)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2"/>
      <c r="AI6" s="137" t="n">
        <f aca="false">SUM(D6:AH6)</f>
        <v>0</v>
      </c>
      <c r="AJ6" s="134"/>
    </row>
    <row r="7" customFormat="false" ht="15" hidden="true" customHeight="true" outlineLevel="1" collapsed="false">
      <c r="B7" s="130"/>
      <c r="C7" s="135" t="str">
        <f aca="false">Настройки!$B$7</f>
        <v>Сайт (SEO)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2"/>
      <c r="AI7" s="137" t="n">
        <f aca="false">SUM(D7:AH7)</f>
        <v>0</v>
      </c>
      <c r="AJ7" s="134"/>
    </row>
    <row r="8" customFormat="false" ht="15" hidden="true" customHeight="true" outlineLevel="1" collapsed="false">
      <c r="B8" s="130"/>
      <c r="C8" s="135" t="str">
        <f aca="false">Настройки!$B$8</f>
        <v>Instagram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2"/>
      <c r="AI8" s="137" t="n">
        <f aca="false">SUM(D8:AH8)</f>
        <v>0</v>
      </c>
      <c r="AJ8" s="134"/>
    </row>
    <row r="9" customFormat="false" ht="15" hidden="true" customHeight="true" outlineLevel="1" collapsed="false">
      <c r="B9" s="130"/>
      <c r="C9" s="135" t="str">
        <f aca="false">Настройки!$B$9</f>
        <v>Зашли с улицы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2"/>
      <c r="AI9" s="137" t="n">
        <f aca="false">SUM(D9:AH9)</f>
        <v>0</v>
      </c>
      <c r="AJ9" s="134"/>
    </row>
    <row r="10" customFormat="false" ht="15" hidden="true" customHeight="true" outlineLevel="1" collapsed="false">
      <c r="B10" s="130"/>
      <c r="C10" s="135" t="str">
        <f aca="false">Настройки!$B$10</f>
        <v>По рекомендации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2"/>
      <c r="AI10" s="137" t="n">
        <f aca="false">SUM(D10:AH10)</f>
        <v>0</v>
      </c>
      <c r="AJ10" s="134"/>
    </row>
    <row r="11" customFormat="false" ht="15" hidden="true" customHeight="true" outlineLevel="1" collapsed="false">
      <c r="B11" s="130"/>
      <c r="C11" s="138" t="str">
        <f aca="false">Настройки!$B$11</f>
        <v>Постоянные клиенты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40" t="n">
        <f aca="false">SUM(D11:AH11)</f>
        <v>0</v>
      </c>
      <c r="AJ11" s="134"/>
    </row>
    <row r="12" customFormat="false" ht="24.95" hidden="false" customHeight="true" outlineLevel="0" collapsed="false">
      <c r="A12" s="141"/>
      <c r="B12" s="130"/>
      <c r="C12" s="142" t="s">
        <v>40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33" t="n">
        <f aca="false">SUM(D12:AH12)</f>
        <v>0</v>
      </c>
    </row>
    <row r="13" customFormat="false" ht="24.95" hidden="false" customHeight="true" outlineLevel="0" collapsed="false">
      <c r="B13" s="130"/>
      <c r="C13" s="144" t="s">
        <v>41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0" t="n">
        <f aca="false">SUM(D13:AH13)</f>
        <v>0</v>
      </c>
      <c r="AJ13" s="134"/>
    </row>
    <row r="14" s="109" customFormat="true" ht="6.95" hidden="false" customHeight="true" outlineLevel="0" collapsed="false"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</row>
    <row r="15" s="109" customFormat="true" ht="6.95" hidden="false" customHeight="true" outlineLevel="0" collapsed="false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</row>
    <row r="16" customFormat="false" ht="15" hidden="false" customHeight="true" outlineLevel="0" collapsed="false">
      <c r="B16" s="126" t="s">
        <v>38</v>
      </c>
      <c r="C16" s="126"/>
      <c r="D16" s="127" t="n">
        <v>1</v>
      </c>
      <c r="E16" s="128" t="n">
        <v>2</v>
      </c>
      <c r="F16" s="128" t="n">
        <v>3</v>
      </c>
      <c r="G16" s="128" t="n">
        <v>4</v>
      </c>
      <c r="H16" s="128" t="n">
        <v>5</v>
      </c>
      <c r="I16" s="128" t="n">
        <v>6</v>
      </c>
      <c r="J16" s="128" t="n">
        <v>7</v>
      </c>
      <c r="K16" s="128" t="n">
        <v>8</v>
      </c>
      <c r="L16" s="128" t="n">
        <v>9</v>
      </c>
      <c r="M16" s="128" t="n">
        <v>10</v>
      </c>
      <c r="N16" s="128" t="n">
        <v>11</v>
      </c>
      <c r="O16" s="128" t="n">
        <v>12</v>
      </c>
      <c r="P16" s="128" t="n">
        <v>13</v>
      </c>
      <c r="Q16" s="128" t="n">
        <v>14</v>
      </c>
      <c r="R16" s="128" t="n">
        <v>15</v>
      </c>
      <c r="S16" s="128" t="n">
        <v>16</v>
      </c>
      <c r="T16" s="128" t="n">
        <v>17</v>
      </c>
      <c r="U16" s="128" t="n">
        <v>18</v>
      </c>
      <c r="V16" s="128" t="n">
        <v>19</v>
      </c>
      <c r="W16" s="128" t="n">
        <v>20</v>
      </c>
      <c r="X16" s="128" t="n">
        <v>21</v>
      </c>
      <c r="Y16" s="128" t="n">
        <v>22</v>
      </c>
      <c r="Z16" s="128" t="n">
        <v>23</v>
      </c>
      <c r="AA16" s="128" t="n">
        <v>24</v>
      </c>
      <c r="AB16" s="128" t="n">
        <v>25</v>
      </c>
      <c r="AC16" s="128" t="n">
        <v>26</v>
      </c>
      <c r="AD16" s="128" t="n">
        <v>27</v>
      </c>
      <c r="AE16" s="128" t="n">
        <v>28</v>
      </c>
      <c r="AF16" s="128" t="n">
        <v>29</v>
      </c>
      <c r="AG16" s="128" t="n">
        <v>30</v>
      </c>
      <c r="AH16" s="128" t="n">
        <v>31</v>
      </c>
      <c r="AI16" s="129" t="s">
        <v>39</v>
      </c>
    </row>
    <row r="17" customFormat="false" ht="15" hidden="true" customHeight="true" outlineLevel="1" collapsed="false">
      <c r="B17" s="130" t="str">
        <f aca="false">Менеджер_2</f>
        <v>Менеджер2</v>
      </c>
      <c r="C17" s="131" t="str">
        <f aca="false">Настройки!$B$5</f>
        <v>Соцсети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3" t="n">
        <f aca="false">SUM(D17:AH17)</f>
        <v>0</v>
      </c>
      <c r="AJ17" s="134"/>
    </row>
    <row r="18" customFormat="false" ht="15" hidden="true" customHeight="true" outlineLevel="1" collapsed="false">
      <c r="B18" s="130"/>
      <c r="C18" s="135" t="str">
        <f aca="false">Настройки!$B$6</f>
        <v>Сайт (директ)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2"/>
      <c r="AI18" s="137" t="n">
        <f aca="false">SUM(D18:AH18)</f>
        <v>0</v>
      </c>
      <c r="AJ18" s="134"/>
    </row>
    <row r="19" customFormat="false" ht="15" hidden="true" customHeight="true" outlineLevel="1" collapsed="false">
      <c r="B19" s="130"/>
      <c r="C19" s="135" t="str">
        <f aca="false">Настройки!$B$7</f>
        <v>Сайт (SEO)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2"/>
      <c r="AI19" s="137" t="n">
        <f aca="false">SUM(D19:AH19)</f>
        <v>0</v>
      </c>
      <c r="AJ19" s="134"/>
    </row>
    <row r="20" customFormat="false" ht="15" hidden="true" customHeight="true" outlineLevel="1" collapsed="false">
      <c r="B20" s="130"/>
      <c r="C20" s="135" t="str">
        <f aca="false">Настройки!$B$8</f>
        <v>Instagram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2"/>
      <c r="AI20" s="137" t="n">
        <f aca="false">SUM(D20:AH20)</f>
        <v>0</v>
      </c>
      <c r="AJ20" s="134"/>
    </row>
    <row r="21" customFormat="false" ht="15" hidden="true" customHeight="true" outlineLevel="1" collapsed="false">
      <c r="B21" s="130"/>
      <c r="C21" s="135" t="str">
        <f aca="false">Настройки!$B$9</f>
        <v>Зашли с улицы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2"/>
      <c r="AI21" s="137" t="n">
        <f aca="false">SUM(D21:AH21)</f>
        <v>0</v>
      </c>
      <c r="AJ21" s="134"/>
    </row>
    <row r="22" customFormat="false" ht="15" hidden="true" customHeight="true" outlineLevel="1" collapsed="false">
      <c r="B22" s="130"/>
      <c r="C22" s="135" t="str">
        <f aca="false">Настройки!$B$10</f>
        <v>По рекомендации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2"/>
      <c r="AI22" s="137" t="n">
        <f aca="false">SUM(D22:AH22)</f>
        <v>0</v>
      </c>
      <c r="AJ22" s="134"/>
    </row>
    <row r="23" customFormat="false" ht="15" hidden="true" customHeight="true" outlineLevel="1" collapsed="false">
      <c r="B23" s="130"/>
      <c r="C23" s="138" t="str">
        <f aca="false">Настройки!$B$11</f>
        <v>Постоянные клиенты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40" t="n">
        <f aca="false">SUM(D23:AH23)</f>
        <v>0</v>
      </c>
      <c r="AJ23" s="134"/>
    </row>
    <row r="24" customFormat="false" ht="24.95" hidden="false" customHeight="true" outlineLevel="0" collapsed="false">
      <c r="A24" s="141"/>
      <c r="B24" s="130"/>
      <c r="C24" s="142" t="s">
        <v>40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33" t="n">
        <f aca="false">SUM(D24:AH24)</f>
        <v>0</v>
      </c>
    </row>
    <row r="25" customFormat="false" ht="24.95" hidden="false" customHeight="true" outlineLevel="0" collapsed="false">
      <c r="B25" s="130"/>
      <c r="C25" s="144" t="s">
        <v>41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0" t="n">
        <f aca="false">SUM(D25:AH25)</f>
        <v>0</v>
      </c>
      <c r="AJ25" s="134"/>
    </row>
  </sheetData>
  <mergeCells count="5">
    <mergeCell ref="B2:AI2"/>
    <mergeCell ref="B4:C4"/>
    <mergeCell ref="B5:B13"/>
    <mergeCell ref="B16:C16"/>
    <mergeCell ref="B17:B25"/>
  </mergeCells>
  <conditionalFormatting sqref="D5:D13">
    <cfRule type="expression" priority="2" aboveAverage="0" equalAverage="0" bottom="0" percent="0" rank="0" text="" dxfId="115">
      <formula>DAY(TODAY())=D$4</formula>
    </cfRule>
  </conditionalFormatting>
  <conditionalFormatting sqref="E5:AH13">
    <cfRule type="expression" priority="3" aboveAverage="0" equalAverage="0" bottom="0" percent="0" rank="0" text="" dxfId="116">
      <formula>DAY(TODAY())=E$4</formula>
    </cfRule>
  </conditionalFormatting>
  <conditionalFormatting sqref="F24:AH25 F17:AG23">
    <cfRule type="expression" priority="4" aboveAverage="0" equalAverage="0" bottom="0" percent="0" rank="0" text="" dxfId="117">
      <formula>DAY(TODAY())=F$4</formula>
    </cfRule>
  </conditionalFormatting>
  <conditionalFormatting sqref="D17:D25">
    <cfRule type="expression" priority="5" aboveAverage="0" equalAverage="0" bottom="0" percent="0" rank="0" text="" dxfId="118">
      <formula>DAY(TODAY())=D$4</formula>
    </cfRule>
  </conditionalFormatting>
  <conditionalFormatting sqref="E17:E25">
    <cfRule type="expression" priority="6" aboveAverage="0" equalAverage="0" bottom="0" percent="0" rank="0" text="" dxfId="119">
      <formula>DAY(TODAY())=E$4</formula>
    </cfRule>
  </conditionalFormatting>
  <conditionalFormatting sqref="C5:C11">
    <cfRule type="duplicateValues" priority="7" aboveAverage="0" equalAverage="0" bottom="0" percent="0" rank="0" text="" dxfId="120"/>
  </conditionalFormatting>
  <conditionalFormatting sqref="C17:C23">
    <cfRule type="duplicateValues" priority="8" aboveAverage="0" equalAverage="0" bottom="0" percent="0" rank="0" text="" dxfId="121"/>
  </conditionalFormatting>
  <conditionalFormatting sqref="AH17:AH23">
    <cfRule type="expression" priority="9" aboveAverage="0" equalAverage="0" bottom="0" percent="0" rank="0" text="" dxfId="122">
      <formula>DAY(TODAY())=AH$4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48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0" ySplit="4" topLeftCell="A5" activePane="bottomLeft" state="frozen"/>
      <selection pane="topLeft" activeCell="A1" activeCellId="0" sqref="A1"/>
      <selection pane="bottomLeft" activeCell="O443" activeCellId="0" sqref="O443"/>
    </sheetView>
  </sheetViews>
  <sheetFormatPr defaultRowHeight="15.75" zeroHeight="false" outlineLevelRow="1" outlineLevelCol="0"/>
  <cols>
    <col collapsed="false" customWidth="true" hidden="false" outlineLevel="0" max="1" min="1" style="0" width="1.62"/>
    <col collapsed="false" customWidth="true" hidden="false" outlineLevel="0" max="2" min="2" style="0" width="20"/>
    <col collapsed="false" customWidth="true" hidden="false" outlineLevel="0" max="4" min="3" style="0" width="6.62"/>
    <col collapsed="false" customWidth="true" hidden="false" outlineLevel="0" max="11" min="5" style="0" width="10.87"/>
    <col collapsed="false" customWidth="true" hidden="false" outlineLevel="0" max="12" min="12" style="1" width="1.62"/>
    <col collapsed="false" customWidth="true" hidden="false" outlineLevel="0" max="15" min="13" style="0" width="10.87"/>
    <col collapsed="false" customWidth="true" hidden="false" outlineLevel="0" max="16" min="16" style="1" width="1.62"/>
    <col collapsed="false" customWidth="true" hidden="false" outlineLevel="0" max="17" min="17" style="0" width="58.38"/>
    <col collapsed="false" customWidth="true" hidden="false" outlineLevel="0" max="18" min="18" style="109" width="1.62"/>
    <col collapsed="false" customWidth="true" hidden="false" outlineLevel="0" max="21" min="19" style="0" width="10.87"/>
    <col collapsed="false" customWidth="true" hidden="false" outlineLevel="0" max="1025" min="22" style="0" width="11"/>
  </cols>
  <sheetData>
    <row r="1" s="1" customFormat="true" ht="6.95" hidden="false" customHeight="true" outlineLevel="0" collapsed="false">
      <c r="A1" s="2"/>
      <c r="R1" s="109"/>
    </row>
    <row r="2" customFormat="false" ht="21.95" hidden="false" customHeight="true" outlineLevel="0" collapsed="false">
      <c r="A2" s="146"/>
      <c r="B2" s="147" t="s">
        <v>42</v>
      </c>
      <c r="C2" s="148"/>
      <c r="D2" s="148"/>
      <c r="E2" s="149" t="s">
        <v>43</v>
      </c>
      <c r="F2" s="149"/>
      <c r="G2" s="149"/>
      <c r="H2" s="149"/>
      <c r="I2" s="149"/>
      <c r="J2" s="149"/>
      <c r="K2" s="149"/>
      <c r="M2" s="150" t="n">
        <v>0</v>
      </c>
      <c r="N2" s="150"/>
      <c r="O2" s="150"/>
      <c r="Q2" s="151" t="s">
        <v>44</v>
      </c>
      <c r="R2" s="152"/>
      <c r="S2" s="150" t="n">
        <v>0</v>
      </c>
      <c r="T2" s="150"/>
      <c r="U2" s="150"/>
    </row>
    <row r="3" s="1" customFormat="true" ht="6.95" hidden="false" customHeight="true" outlineLevel="0" collapsed="false">
      <c r="A3" s="2"/>
      <c r="R3" s="109"/>
    </row>
    <row r="4" customFormat="false" ht="24.95" hidden="false" customHeight="true" outlineLevel="0" collapsed="false">
      <c r="A4" s="146"/>
      <c r="B4" s="153" t="str">
        <f aca="false">IF((SUMIFS(C1:C9416,A1:A9416,"Тур")-COUNTIF(A1:A9416,"Тур"))&lt;&gt;0, "Ошибка распределения вклада менеджеров по турам!!!", IF((SUMIFS(C1:C9416,A1:A9416,"Доп")-COUNTIF(A1:A9416,"Доп"))&lt;&gt;0, "Ошибка распределения вклада менеджеров по допам!!!", "Распределение плана продаж и расчет ЗП"))</f>
        <v>Распределение плана продаж и расчет ЗП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Q4" s="154" t="s">
        <v>45</v>
      </c>
      <c r="R4" s="154"/>
      <c r="S4" s="154"/>
      <c r="T4" s="154"/>
      <c r="U4" s="154"/>
    </row>
    <row r="5" s="1" customFormat="true" ht="9.95" hidden="false" customHeight="true" outlineLevel="0" collapsed="false">
      <c r="A5" s="2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R5" s="109"/>
    </row>
    <row r="6" customFormat="false" ht="20.1" hidden="false" customHeight="true" outlineLevel="0" collapsed="false">
      <c r="A6" s="156"/>
      <c r="B6" s="157" t="s">
        <v>46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</row>
    <row r="7" s="1" customFormat="true" ht="9.95" hidden="false" customHeight="true" outlineLevel="0" collapsed="false">
      <c r="A7" s="2"/>
      <c r="B7" s="158"/>
      <c r="C7" s="159"/>
      <c r="D7" s="160"/>
      <c r="E7" s="160"/>
      <c r="F7" s="160"/>
      <c r="G7" s="160"/>
      <c r="H7" s="160"/>
      <c r="I7" s="160"/>
      <c r="J7" s="160"/>
      <c r="K7" s="161"/>
      <c r="L7" s="155"/>
      <c r="M7" s="155"/>
      <c r="N7" s="155"/>
      <c r="O7" s="155"/>
      <c r="Q7" s="162"/>
      <c r="R7" s="163"/>
      <c r="S7" s="164"/>
      <c r="T7" s="109"/>
    </row>
    <row r="8" customFormat="false" ht="20.1" hidden="false" customHeight="true" outlineLevel="0" collapsed="false">
      <c r="A8" s="146"/>
      <c r="B8" s="165" t="s">
        <v>47</v>
      </c>
      <c r="C8" s="165"/>
      <c r="D8" s="166" t="s">
        <v>48</v>
      </c>
      <c r="E8" s="167" t="s">
        <v>49</v>
      </c>
      <c r="F8" s="168" t="s">
        <v>50</v>
      </c>
      <c r="G8" s="168" t="s">
        <v>51</v>
      </c>
      <c r="H8" s="169" t="s">
        <v>0</v>
      </c>
      <c r="I8" s="167" t="s">
        <v>52</v>
      </c>
      <c r="J8" s="167" t="s">
        <v>53</v>
      </c>
      <c r="K8" s="170" t="s">
        <v>54</v>
      </c>
      <c r="L8" s="171"/>
      <c r="M8" s="172" t="s">
        <v>1</v>
      </c>
      <c r="N8" s="172" t="s">
        <v>55</v>
      </c>
      <c r="O8" s="173" t="s">
        <v>17</v>
      </c>
      <c r="Q8" s="174" t="s">
        <v>8</v>
      </c>
      <c r="R8" s="175"/>
      <c r="S8" s="176" t="s">
        <v>56</v>
      </c>
      <c r="T8" s="172" t="s">
        <v>10</v>
      </c>
      <c r="U8" s="173" t="s">
        <v>11</v>
      </c>
    </row>
    <row r="9" customFormat="false" ht="20.1" hidden="false" customHeight="true" outlineLevel="0" collapsed="false">
      <c r="A9" s="146" t="str">
        <f aca="false">IF(B6&lt;&gt;"","Тур","")</f>
        <v>Тур</v>
      </c>
      <c r="B9" s="177" t="s">
        <v>57</v>
      </c>
      <c r="C9" s="178" t="n">
        <v>1</v>
      </c>
      <c r="D9" s="179" t="s">
        <v>58</v>
      </c>
      <c r="E9" s="180" t="n">
        <f aca="false">H9*0.4</f>
        <v>0</v>
      </c>
      <c r="F9" s="180" t="n">
        <f aca="false">H9*0.6</f>
        <v>0</v>
      </c>
      <c r="G9" s="180" t="n">
        <f aca="false">H9*0.8</f>
        <v>0</v>
      </c>
      <c r="H9" s="181" t="n">
        <f aca="false">$M$2/COUNTIF($A$1:$A$9604,"Тур")*C9</f>
        <v>0</v>
      </c>
      <c r="I9" s="180" t="n">
        <f aca="false">H9*1.2</f>
        <v>0</v>
      </c>
      <c r="J9" s="180" t="n">
        <f aca="false">H9*1.4</f>
        <v>0</v>
      </c>
      <c r="K9" s="182" t="n">
        <f aca="false">H9*1.6</f>
        <v>0</v>
      </c>
      <c r="L9" s="171"/>
      <c r="M9" s="183" t="n">
        <f aca="false">ФактТурыМенеджер1</f>
        <v>0</v>
      </c>
      <c r="N9" s="184" t="n">
        <f aca="false">IF(M9&lt;E9,0,INDEX(E10:K10,MATCH(M9,E9:K9,1)))</f>
        <v>0.25</v>
      </c>
      <c r="O9" s="185" t="n">
        <f aca="false">M9*N9</f>
        <v>0</v>
      </c>
      <c r="Q9" s="186" t="str">
        <f aca="false">Настройки!$N$5</f>
        <v>Нашел ошибку или внес конструктивную идею по доработке сайта</v>
      </c>
      <c r="R9" s="187"/>
      <c r="S9" s="188" t="n">
        <v>0</v>
      </c>
      <c r="T9" s="189" t="n">
        <f aca="false">Настройки!$O$5</f>
        <v>100</v>
      </c>
      <c r="U9" s="190" t="n">
        <f aca="false">T9*S9</f>
        <v>0</v>
      </c>
    </row>
    <row r="10" customFormat="false" ht="20.1" hidden="false" customHeight="true" outlineLevel="0" collapsed="false">
      <c r="A10" s="146"/>
      <c r="B10" s="177"/>
      <c r="C10" s="178"/>
      <c r="D10" s="191" t="s">
        <v>59</v>
      </c>
      <c r="E10" s="192" t="n">
        <f aca="false">БонусТуры1</f>
        <v>0.1</v>
      </c>
      <c r="F10" s="192" t="n">
        <f aca="false">БонусТуры2</f>
        <v>0.12</v>
      </c>
      <c r="G10" s="192" t="n">
        <f aca="false">БонусТуры3</f>
        <v>0.14</v>
      </c>
      <c r="H10" s="193" t="n">
        <f aca="false">БонусТуры4</f>
        <v>0.18</v>
      </c>
      <c r="I10" s="193" t="n">
        <f aca="false">БонусТуры5</f>
        <v>0.2</v>
      </c>
      <c r="J10" s="192" t="n">
        <f aca="false">БонусТуры6</f>
        <v>0.22</v>
      </c>
      <c r="K10" s="194" t="n">
        <f aca="false">БонусТуры7</f>
        <v>0.25</v>
      </c>
      <c r="L10" s="171"/>
      <c r="M10" s="183"/>
      <c r="N10" s="184"/>
      <c r="O10" s="185"/>
      <c r="Q10" s="195" t="str">
        <f aca="false">Настройки!$N$6</f>
        <v>Добавил новую информацию на сайт или обновил существующую</v>
      </c>
      <c r="R10" s="196"/>
      <c r="S10" s="188" t="n">
        <v>0</v>
      </c>
      <c r="T10" s="189" t="n">
        <f aca="false">Настройки!$O$6</f>
        <v>300</v>
      </c>
      <c r="U10" s="190" t="n">
        <f aca="false">T10*S10</f>
        <v>0</v>
      </c>
    </row>
    <row r="11" customFormat="false" ht="20.1" hidden="false" customHeight="true" outlineLevel="0" collapsed="false">
      <c r="A11" s="146"/>
      <c r="B11" s="165" t="s">
        <v>60</v>
      </c>
      <c r="C11" s="165"/>
      <c r="D11" s="166" t="s">
        <v>48</v>
      </c>
      <c r="E11" s="167" t="s">
        <v>49</v>
      </c>
      <c r="F11" s="168" t="s">
        <v>50</v>
      </c>
      <c r="G11" s="168" t="s">
        <v>51</v>
      </c>
      <c r="H11" s="169" t="s">
        <v>0</v>
      </c>
      <c r="I11" s="167" t="s">
        <v>52</v>
      </c>
      <c r="J11" s="167" t="s">
        <v>53</v>
      </c>
      <c r="K11" s="170" t="s">
        <v>54</v>
      </c>
      <c r="M11" s="172" t="s">
        <v>1</v>
      </c>
      <c r="N11" s="172" t="s">
        <v>55</v>
      </c>
      <c r="O11" s="173" t="s">
        <v>17</v>
      </c>
      <c r="Q11" s="195" t="str">
        <f aca="false">Настройки!$N$7</f>
        <v>Взял отзыв у клиента или рекомендацию у клиента</v>
      </c>
      <c r="R11" s="196"/>
      <c r="S11" s="188" t="n">
        <v>0</v>
      </c>
      <c r="T11" s="189" t="n">
        <f aca="false">Настройки!$O$7</f>
        <v>300</v>
      </c>
      <c r="U11" s="190" t="n">
        <f aca="false">T11*S11</f>
        <v>0</v>
      </c>
    </row>
    <row r="12" customFormat="false" ht="20.1" hidden="false" customHeight="true" outlineLevel="0" collapsed="false">
      <c r="A12" s="146" t="str">
        <f aca="false">IF(B6&lt;&gt;"","Доп","")</f>
        <v>Доп</v>
      </c>
      <c r="B12" s="177" t="s">
        <v>57</v>
      </c>
      <c r="C12" s="178" t="n">
        <v>1</v>
      </c>
      <c r="D12" s="179" t="s">
        <v>58</v>
      </c>
      <c r="E12" s="180" t="n">
        <f aca="false">H12*0.4</f>
        <v>0</v>
      </c>
      <c r="F12" s="180" t="n">
        <f aca="false">H12*0.6</f>
        <v>0</v>
      </c>
      <c r="G12" s="180" t="n">
        <f aca="false">H12*0.8</f>
        <v>0</v>
      </c>
      <c r="H12" s="181" t="n">
        <f aca="false">$S$2/COUNTIF($A$1:$A$9604,"Доп")*C12</f>
        <v>0</v>
      </c>
      <c r="I12" s="180" t="n">
        <f aca="false">H12*1.2</f>
        <v>0</v>
      </c>
      <c r="J12" s="180" t="n">
        <f aca="false">H12*1.4</f>
        <v>0</v>
      </c>
      <c r="K12" s="182" t="n">
        <f aca="false">H12*1.6</f>
        <v>0</v>
      </c>
      <c r="M12" s="197" t="n">
        <f aca="false">ФактДопыМенеджер1</f>
        <v>0</v>
      </c>
      <c r="N12" s="184" t="n">
        <f aca="false">IF(M12&lt;E12,0,INDEX(E13:K13,MATCH(M12,E12:K12,1)))</f>
        <v>0.25</v>
      </c>
      <c r="O12" s="185" t="n">
        <f aca="false">M12*N12</f>
        <v>0</v>
      </c>
      <c r="Q12" s="195" t="str">
        <f aca="false">Настройки!$N$8</f>
        <v>Выход на работу в выходной или праздничный день</v>
      </c>
      <c r="R12" s="196"/>
      <c r="S12" s="188" t="n">
        <v>0</v>
      </c>
      <c r="T12" s="189" t="n">
        <f aca="false">Настройки!$O$8</f>
        <v>500</v>
      </c>
      <c r="U12" s="190" t="n">
        <f aca="false">T12*S12</f>
        <v>0</v>
      </c>
    </row>
    <row r="13" customFormat="false" ht="20.1" hidden="false" customHeight="true" outlineLevel="0" collapsed="false">
      <c r="A13" s="146"/>
      <c r="B13" s="177"/>
      <c r="C13" s="178"/>
      <c r="D13" s="191" t="s">
        <v>59</v>
      </c>
      <c r="E13" s="192" t="n">
        <f aca="false">БонусДопы1</f>
        <v>0.1</v>
      </c>
      <c r="F13" s="192" t="n">
        <f aca="false">БонусДопы2</f>
        <v>0.12</v>
      </c>
      <c r="G13" s="192" t="n">
        <f aca="false">БонусДопы3</f>
        <v>0.14</v>
      </c>
      <c r="H13" s="193" t="n">
        <f aca="false">БонусДопы4</f>
        <v>0.18</v>
      </c>
      <c r="I13" s="192" t="n">
        <f aca="false">БонусДопы5</f>
        <v>0.2</v>
      </c>
      <c r="J13" s="192" t="n">
        <f aca="false">БонусДопы6</f>
        <v>0.22</v>
      </c>
      <c r="K13" s="194" t="n">
        <f aca="false">БонусДопы7</f>
        <v>0.25</v>
      </c>
      <c r="M13" s="197"/>
      <c r="N13" s="184"/>
      <c r="O13" s="185"/>
      <c r="Q13" s="186" t="str">
        <f aca="false">Настройки!$N$9</f>
        <v>Заполнение полной информации об отеле в таблице отелей</v>
      </c>
      <c r="R13" s="198"/>
      <c r="S13" s="188" t="n">
        <v>0</v>
      </c>
      <c r="T13" s="189" t="n">
        <f aca="false">Настройки!$O$9</f>
        <v>100</v>
      </c>
      <c r="U13" s="190" t="n">
        <f aca="false">T13*S13</f>
        <v>0</v>
      </c>
    </row>
    <row r="14" customFormat="false" ht="20.1" hidden="false" customHeight="true" outlineLevel="1" collapsed="false">
      <c r="A14" s="146"/>
      <c r="B14" s="199" t="s">
        <v>61</v>
      </c>
      <c r="C14" s="199"/>
      <c r="D14" s="199"/>
      <c r="E14" s="199"/>
      <c r="F14" s="199"/>
      <c r="G14" s="199"/>
      <c r="H14" s="199"/>
      <c r="I14" s="199"/>
      <c r="J14" s="199"/>
      <c r="K14" s="199"/>
      <c r="L14" s="200"/>
      <c r="M14" s="176" t="s">
        <v>1</v>
      </c>
      <c r="N14" s="172" t="s">
        <v>15</v>
      </c>
      <c r="O14" s="173" t="s">
        <v>17</v>
      </c>
      <c r="Q14" s="186" t="str">
        <f aca="false">Настройки!$N$10</f>
        <v>Подготовил презентацию или доклад по направлению</v>
      </c>
      <c r="R14" s="198"/>
      <c r="S14" s="188" t="n">
        <v>0</v>
      </c>
      <c r="T14" s="189" t="n">
        <f aca="false">Настройки!$O$10</f>
        <v>300</v>
      </c>
      <c r="U14" s="190" t="n">
        <f aca="false">T14*S14</f>
        <v>0</v>
      </c>
    </row>
    <row r="15" customFormat="false" ht="20.1" hidden="false" customHeight="true" outlineLevel="1" collapsed="false">
      <c r="A15" s="146"/>
      <c r="B15" s="201"/>
      <c r="C15" s="201"/>
      <c r="D15" s="201"/>
      <c r="E15" s="201"/>
      <c r="F15" s="201"/>
      <c r="G15" s="201"/>
      <c r="H15" s="201"/>
      <c r="I15" s="201"/>
      <c r="J15" s="202" t="s">
        <v>58</v>
      </c>
      <c r="K15" s="203"/>
      <c r="L15" s="200"/>
      <c r="M15" s="188"/>
      <c r="N15" s="204"/>
      <c r="O15" s="205" t="n">
        <f aca="false">IF(M15&lt;N15,0,IF(M15&gt;=K15,K16,M15/K15*K16))</f>
        <v>0</v>
      </c>
      <c r="Q15" s="206" t="str">
        <f aca="false">Настройки!$N$11</f>
        <v>Подготовил выпуск рассылки</v>
      </c>
      <c r="R15" s="196"/>
      <c r="S15" s="204" t="n">
        <v>0</v>
      </c>
      <c r="T15" s="189" t="n">
        <f aca="false">Настройки!$O$11</f>
        <v>500</v>
      </c>
      <c r="U15" s="190" t="n">
        <f aca="false">T15*S15</f>
        <v>0</v>
      </c>
    </row>
    <row r="16" customFormat="false" ht="20.1" hidden="false" customHeight="true" outlineLevel="1" collapsed="false">
      <c r="A16" s="146"/>
      <c r="B16" s="201"/>
      <c r="C16" s="201"/>
      <c r="D16" s="201"/>
      <c r="E16" s="201"/>
      <c r="F16" s="201"/>
      <c r="G16" s="201"/>
      <c r="H16" s="201"/>
      <c r="I16" s="201"/>
      <c r="J16" s="207" t="s">
        <v>62</v>
      </c>
      <c r="K16" s="208"/>
      <c r="L16" s="200"/>
      <c r="M16" s="188"/>
      <c r="N16" s="204"/>
      <c r="O16" s="205"/>
      <c r="Q16" s="209"/>
      <c r="R16" s="209"/>
      <c r="S16" s="210"/>
      <c r="T16" s="211"/>
      <c r="U16" s="210"/>
    </row>
    <row r="17" customFormat="false" ht="20.1" hidden="false" customHeight="true" outlineLevel="1" collapsed="false">
      <c r="A17" s="146"/>
      <c r="B17" s="201"/>
      <c r="C17" s="201"/>
      <c r="D17" s="201"/>
      <c r="E17" s="201"/>
      <c r="F17" s="201"/>
      <c r="G17" s="201"/>
      <c r="H17" s="201"/>
      <c r="I17" s="201"/>
      <c r="J17" s="202" t="s">
        <v>58</v>
      </c>
      <c r="K17" s="212"/>
      <c r="L17" s="200"/>
      <c r="M17" s="188"/>
      <c r="N17" s="204"/>
      <c r="O17" s="205" t="n">
        <f aca="false">IF(M17&lt;N17,0,IF(M17&gt;=K17,K18,M17/K17*K18))</f>
        <v>0</v>
      </c>
      <c r="Q17" s="213" t="s">
        <v>12</v>
      </c>
      <c r="R17" s="175"/>
      <c r="S17" s="214" t="s">
        <v>56</v>
      </c>
      <c r="T17" s="215" t="s">
        <v>10</v>
      </c>
      <c r="U17" s="216" t="s">
        <v>11</v>
      </c>
    </row>
    <row r="18" customFormat="false" ht="20.1" hidden="false" customHeight="true" outlineLevel="1" collapsed="false">
      <c r="A18" s="146"/>
      <c r="B18" s="201"/>
      <c r="C18" s="201"/>
      <c r="D18" s="201"/>
      <c r="E18" s="201"/>
      <c r="F18" s="201"/>
      <c r="G18" s="201"/>
      <c r="H18" s="201"/>
      <c r="I18" s="201"/>
      <c r="J18" s="207" t="s">
        <v>62</v>
      </c>
      <c r="K18" s="217"/>
      <c r="L18" s="200"/>
      <c r="M18" s="188"/>
      <c r="N18" s="204"/>
      <c r="O18" s="205"/>
      <c r="Q18" s="218" t="str">
        <f aca="false">Настройки!$K$5</f>
        <v>Опоздал на работу</v>
      </c>
      <c r="R18" s="175"/>
      <c r="S18" s="219" t="n">
        <v>0</v>
      </c>
      <c r="T18" s="189" t="n">
        <f aca="false">Настройки!$L$5</f>
        <v>250</v>
      </c>
      <c r="U18" s="190" t="n">
        <f aca="false">T18*S18</f>
        <v>0</v>
      </c>
    </row>
    <row r="19" customFormat="false" ht="20.1" hidden="false" customHeight="true" outlineLevel="1" collapsed="false">
      <c r="A19" s="146"/>
      <c r="B19" s="201"/>
      <c r="C19" s="201"/>
      <c r="D19" s="201"/>
      <c r="E19" s="201"/>
      <c r="F19" s="201"/>
      <c r="G19" s="201"/>
      <c r="H19" s="201"/>
      <c r="I19" s="201"/>
      <c r="J19" s="202" t="s">
        <v>58</v>
      </c>
      <c r="K19" s="212"/>
      <c r="L19" s="200"/>
      <c r="M19" s="188"/>
      <c r="N19" s="204"/>
      <c r="O19" s="205" t="n">
        <f aca="false">IF(M19&lt;N19,0,IF(M19&gt;=K19,K20,M19/K19*K20))</f>
        <v>0</v>
      </c>
      <c r="Q19" s="218" t="str">
        <f aca="false">Настройки!$K$6</f>
        <v>Опоздал на работу не предупредив об этом по телефону</v>
      </c>
      <c r="R19" s="175"/>
      <c r="S19" s="219" t="n">
        <v>0</v>
      </c>
      <c r="T19" s="189" t="n">
        <f aca="false">Настройки!$L$6</f>
        <v>300</v>
      </c>
      <c r="U19" s="190" t="n">
        <f aca="false">T19*S19</f>
        <v>0</v>
      </c>
    </row>
    <row r="20" customFormat="false" ht="20.1" hidden="false" customHeight="true" outlineLevel="1" collapsed="false">
      <c r="A20" s="146"/>
      <c r="B20" s="201"/>
      <c r="C20" s="201"/>
      <c r="D20" s="201"/>
      <c r="E20" s="201"/>
      <c r="F20" s="201"/>
      <c r="G20" s="201"/>
      <c r="H20" s="201"/>
      <c r="I20" s="201"/>
      <c r="J20" s="207" t="s">
        <v>62</v>
      </c>
      <c r="K20" s="217"/>
      <c r="L20" s="200"/>
      <c r="M20" s="188"/>
      <c r="N20" s="204"/>
      <c r="O20" s="205"/>
      <c r="Q20" s="218" t="str">
        <f aca="false">Настройки!$K$7</f>
        <v>Негативный отзыв клиента о работе менеджера</v>
      </c>
      <c r="R20" s="187"/>
      <c r="S20" s="220" t="n">
        <v>0</v>
      </c>
      <c r="T20" s="189" t="n">
        <f aca="false">Настройки!$L$7</f>
        <v>400</v>
      </c>
      <c r="U20" s="190" t="n">
        <f aca="false">T20*S20</f>
        <v>0</v>
      </c>
    </row>
    <row r="21" customFormat="false" ht="20.1" hidden="false" customHeight="true" outlineLevel="1" collapsed="false">
      <c r="A21" s="146"/>
      <c r="B21" s="201"/>
      <c r="C21" s="201"/>
      <c r="D21" s="201"/>
      <c r="E21" s="201"/>
      <c r="F21" s="201"/>
      <c r="G21" s="201"/>
      <c r="H21" s="201"/>
      <c r="I21" s="201"/>
      <c r="J21" s="202" t="s">
        <v>58</v>
      </c>
      <c r="K21" s="212"/>
      <c r="L21" s="200"/>
      <c r="M21" s="188"/>
      <c r="N21" s="204"/>
      <c r="O21" s="205" t="n">
        <f aca="false">IF(M21&lt;N21,0,IF(M21&gt;=K21,K22,M21/K21*K22))</f>
        <v>0</v>
      </c>
      <c r="Q21" s="218" t="str">
        <f aca="false">Настройки!$K$8</f>
        <v>Допущенна ошибка в договоре с туристом</v>
      </c>
      <c r="R21" s="196"/>
      <c r="S21" s="220" t="n">
        <v>0</v>
      </c>
      <c r="T21" s="189" t="n">
        <f aca="false">Настройки!$L$8</f>
        <v>500</v>
      </c>
      <c r="U21" s="190" t="n">
        <f aca="false">T21*S21</f>
        <v>0</v>
      </c>
    </row>
    <row r="22" customFormat="false" ht="20.1" hidden="false" customHeight="true" outlineLevel="1" collapsed="false">
      <c r="A22" s="146"/>
      <c r="B22" s="201"/>
      <c r="C22" s="201"/>
      <c r="D22" s="201"/>
      <c r="E22" s="201"/>
      <c r="F22" s="201"/>
      <c r="G22" s="201"/>
      <c r="H22" s="201"/>
      <c r="I22" s="201"/>
      <c r="J22" s="207" t="s">
        <v>62</v>
      </c>
      <c r="K22" s="217"/>
      <c r="L22" s="200"/>
      <c r="M22" s="188"/>
      <c r="N22" s="204"/>
      <c r="O22" s="205"/>
      <c r="Q22" s="221" t="str">
        <f aca="false">Настройки!$K$9</f>
        <v>Не внесена информация о взаимодействии с клиентом в CRM</v>
      </c>
      <c r="R22" s="196"/>
      <c r="S22" s="219" t="n">
        <v>0</v>
      </c>
      <c r="T22" s="189" t="n">
        <f aca="false">Настройки!$L$9</f>
        <v>250</v>
      </c>
      <c r="U22" s="190" t="n">
        <f aca="false">T22*S22</f>
        <v>0</v>
      </c>
    </row>
    <row r="23" customFormat="false" ht="20.1" hidden="false" customHeight="true" outlineLevel="1" collapsed="false">
      <c r="A23" s="146"/>
      <c r="B23" s="222"/>
      <c r="C23" s="222"/>
      <c r="D23" s="222"/>
      <c r="E23" s="222"/>
      <c r="F23" s="222"/>
      <c r="G23" s="222"/>
      <c r="H23" s="222"/>
      <c r="I23" s="222"/>
      <c r="J23" s="202" t="s">
        <v>58</v>
      </c>
      <c r="K23" s="212"/>
      <c r="L23" s="200"/>
      <c r="M23" s="223"/>
      <c r="N23" s="224"/>
      <c r="O23" s="185" t="n">
        <f aca="false">IF(M23&lt;N23,0,IF(M23&gt;=K23,K24,M23/K23*K24))</f>
        <v>0</v>
      </c>
      <c r="Q23" s="221" t="str">
        <f aca="false">Настройки!$K$10</f>
        <v>Не знание рекламных акций турагентства</v>
      </c>
      <c r="R23" s="196"/>
      <c r="S23" s="219" t="n">
        <v>0</v>
      </c>
      <c r="T23" s="189" t="n">
        <f aca="false">Настройки!$L$10</f>
        <v>250</v>
      </c>
      <c r="U23" s="190" t="n">
        <f aca="false">T23*S23</f>
        <v>0</v>
      </c>
    </row>
    <row r="24" customFormat="false" ht="20.1" hidden="false" customHeight="true" outlineLevel="1" collapsed="false">
      <c r="A24" s="146"/>
      <c r="B24" s="222"/>
      <c r="C24" s="222"/>
      <c r="D24" s="222"/>
      <c r="E24" s="222"/>
      <c r="F24" s="222"/>
      <c r="G24" s="222"/>
      <c r="H24" s="222"/>
      <c r="I24" s="222"/>
      <c r="J24" s="225" t="s">
        <v>62</v>
      </c>
      <c r="K24" s="226"/>
      <c r="L24" s="200"/>
      <c r="M24" s="223"/>
      <c r="N24" s="224"/>
      <c r="O24" s="185"/>
      <c r="Q24" s="227" t="str">
        <f aca="false">Настройки!$K$11</f>
        <v>В CRM указан не корректный источник рекламы</v>
      </c>
      <c r="R24" s="198"/>
      <c r="S24" s="228" t="n">
        <v>0</v>
      </c>
      <c r="T24" s="189" t="n">
        <f aca="false">Настройки!$L$11</f>
        <v>250</v>
      </c>
      <c r="U24" s="229" t="n">
        <f aca="false">T24*S24</f>
        <v>0</v>
      </c>
    </row>
    <row r="25" customFormat="false" ht="20.1" hidden="false" customHeight="true" outlineLevel="0" collapsed="false">
      <c r="A25" s="146"/>
      <c r="B25" s="230" t="s">
        <v>63</v>
      </c>
      <c r="C25" s="230"/>
      <c r="D25" s="230"/>
      <c r="E25" s="230"/>
      <c r="F25" s="230"/>
      <c r="G25" s="230"/>
      <c r="H25" s="230"/>
      <c r="I25" s="230"/>
      <c r="J25" s="231" t="n">
        <v>0</v>
      </c>
      <c r="K25" s="231"/>
      <c r="L25" s="200"/>
      <c r="M25" s="232" t="s">
        <v>23</v>
      </c>
      <c r="N25" s="232"/>
      <c r="O25" s="233" t="n">
        <f aca="false">SUM(J25,O9,IFERROR(O12,0),O15:O24,S25)</f>
        <v>0</v>
      </c>
      <c r="Q25" s="234" t="s">
        <v>64</v>
      </c>
      <c r="R25" s="198"/>
      <c r="S25" s="235" t="n">
        <f aca="false">SUM(U9:U15)-SUM(U17:U24)</f>
        <v>0</v>
      </c>
      <c r="T25" s="235"/>
      <c r="U25" s="235"/>
    </row>
    <row r="26" customFormat="false" ht="20.1" hidden="false" customHeight="true" outlineLevel="0" collapsed="false">
      <c r="A26" s="146"/>
      <c r="B26" s="230"/>
      <c r="C26" s="230"/>
      <c r="D26" s="230"/>
      <c r="E26" s="230"/>
      <c r="F26" s="230"/>
      <c r="G26" s="230"/>
      <c r="H26" s="230"/>
      <c r="I26" s="230"/>
      <c r="J26" s="231"/>
      <c r="K26" s="231"/>
      <c r="L26" s="200"/>
      <c r="M26" s="232"/>
      <c r="N26" s="232"/>
      <c r="O26" s="233"/>
      <c r="Q26" s="234"/>
      <c r="R26" s="196"/>
      <c r="S26" s="235"/>
      <c r="T26" s="235"/>
      <c r="U26" s="235"/>
    </row>
    <row r="27" s="1" customFormat="true" ht="9.95" hidden="false" customHeight="true" outlineLevel="0" collapsed="false">
      <c r="A27" s="2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R27" s="109"/>
    </row>
    <row r="28" customFormat="false" ht="20.1" hidden="false" customHeight="true" outlineLevel="0" collapsed="false">
      <c r="A28" s="156"/>
      <c r="B28" s="157" t="s">
        <v>65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</row>
    <row r="29" s="1" customFormat="true" ht="9.95" hidden="false" customHeight="true" outlineLevel="0" collapsed="false">
      <c r="A29" s="2"/>
      <c r="B29" s="236"/>
      <c r="C29" s="236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Q29" s="162"/>
      <c r="R29" s="163"/>
      <c r="S29" s="164"/>
      <c r="T29" s="109"/>
    </row>
    <row r="30" customFormat="false" ht="20.1" hidden="false" customHeight="true" outlineLevel="0" collapsed="false">
      <c r="A30" s="146"/>
      <c r="B30" s="165" t="s">
        <v>47</v>
      </c>
      <c r="C30" s="165"/>
      <c r="D30" s="166" t="s">
        <v>48</v>
      </c>
      <c r="E30" s="167" t="s">
        <v>49</v>
      </c>
      <c r="F30" s="168" t="s">
        <v>50</v>
      </c>
      <c r="G30" s="168" t="s">
        <v>51</v>
      </c>
      <c r="H30" s="169" t="s">
        <v>0</v>
      </c>
      <c r="I30" s="167" t="s">
        <v>52</v>
      </c>
      <c r="J30" s="167" t="s">
        <v>53</v>
      </c>
      <c r="K30" s="170" t="s">
        <v>54</v>
      </c>
      <c r="L30" s="200"/>
      <c r="M30" s="172" t="s">
        <v>1</v>
      </c>
      <c r="N30" s="172" t="s">
        <v>55</v>
      </c>
      <c r="O30" s="173" t="s">
        <v>17</v>
      </c>
      <c r="Q30" s="174" t="s">
        <v>8</v>
      </c>
      <c r="R30" s="175"/>
      <c r="S30" s="176" t="s">
        <v>56</v>
      </c>
      <c r="T30" s="172" t="s">
        <v>10</v>
      </c>
      <c r="U30" s="173" t="s">
        <v>11</v>
      </c>
    </row>
    <row r="31" customFormat="false" ht="20.1" hidden="false" customHeight="true" outlineLevel="0" collapsed="false">
      <c r="A31" s="146" t="str">
        <f aca="false">IF(B28&lt;&gt;"","Тур","")</f>
        <v>Тур</v>
      </c>
      <c r="B31" s="177" t="s">
        <v>57</v>
      </c>
      <c r="C31" s="178" t="n">
        <v>1</v>
      </c>
      <c r="D31" s="179" t="s">
        <v>58</v>
      </c>
      <c r="E31" s="180" t="n">
        <f aca="false">H31*0.4</f>
        <v>0</v>
      </c>
      <c r="F31" s="180" t="n">
        <f aca="false">H31*0.6</f>
        <v>0</v>
      </c>
      <c r="G31" s="180" t="n">
        <f aca="false">H31*0.8</f>
        <v>0</v>
      </c>
      <c r="H31" s="181" t="n">
        <f aca="false">$M$2/COUNTIF($A$1:$A$9604,"Тур")*C31</f>
        <v>0</v>
      </c>
      <c r="I31" s="180" t="n">
        <f aca="false">H31*1.2</f>
        <v>0</v>
      </c>
      <c r="J31" s="180" t="n">
        <f aca="false">H31*1.4</f>
        <v>0</v>
      </c>
      <c r="K31" s="182" t="n">
        <f aca="false">H31*1.6</f>
        <v>0</v>
      </c>
      <c r="L31" s="200"/>
      <c r="M31" s="183" t="n">
        <f aca="false">ФактТурыМенеджер2</f>
        <v>0</v>
      </c>
      <c r="N31" s="184" t="n">
        <f aca="false">IF(M31&lt;E31,0,INDEX(E32:K32,MATCH(M31,E31:K31,1)))</f>
        <v>0.25</v>
      </c>
      <c r="O31" s="185" t="n">
        <f aca="false">M31*N31</f>
        <v>0</v>
      </c>
      <c r="Q31" s="186" t="str">
        <f aca="false">Настройки!$N$5</f>
        <v>Нашел ошибку или внес конструктивную идею по доработке сайта</v>
      </c>
      <c r="R31" s="187"/>
      <c r="S31" s="188" t="n">
        <v>0</v>
      </c>
      <c r="T31" s="189" t="n">
        <f aca="false">Настройки!$O$5</f>
        <v>100</v>
      </c>
      <c r="U31" s="190" t="n">
        <f aca="false">T31*S31</f>
        <v>0</v>
      </c>
    </row>
    <row r="32" customFormat="false" ht="20.1" hidden="false" customHeight="true" outlineLevel="0" collapsed="false">
      <c r="A32" s="146"/>
      <c r="B32" s="177"/>
      <c r="C32" s="178"/>
      <c r="D32" s="191" t="s">
        <v>59</v>
      </c>
      <c r="E32" s="192" t="n">
        <f aca="false">БонусТуры1</f>
        <v>0.1</v>
      </c>
      <c r="F32" s="192" t="n">
        <f aca="false">БонусТуры2</f>
        <v>0.12</v>
      </c>
      <c r="G32" s="192" t="n">
        <f aca="false">БонусТуры3</f>
        <v>0.14</v>
      </c>
      <c r="H32" s="193" t="n">
        <f aca="false">БонусТуры4</f>
        <v>0.18</v>
      </c>
      <c r="I32" s="193" t="n">
        <f aca="false">БонусТуры5</f>
        <v>0.2</v>
      </c>
      <c r="J32" s="192" t="n">
        <f aca="false">БонусТуры6</f>
        <v>0.22</v>
      </c>
      <c r="K32" s="194" t="n">
        <f aca="false">БонусТуры7</f>
        <v>0.25</v>
      </c>
      <c r="L32" s="200"/>
      <c r="M32" s="183"/>
      <c r="N32" s="184"/>
      <c r="O32" s="185"/>
      <c r="Q32" s="195" t="str">
        <f aca="false">Настройки!$N$6</f>
        <v>Добавил новую информацию на сайт или обновил существующую</v>
      </c>
      <c r="R32" s="196"/>
      <c r="S32" s="188" t="n">
        <v>0</v>
      </c>
      <c r="T32" s="189" t="n">
        <f aca="false">Настройки!$O$6</f>
        <v>300</v>
      </c>
      <c r="U32" s="237" t="n">
        <f aca="false">T32*S32</f>
        <v>0</v>
      </c>
    </row>
    <row r="33" customFormat="false" ht="20.1" hidden="false" customHeight="true" outlineLevel="0" collapsed="false">
      <c r="A33" s="146"/>
      <c r="B33" s="165" t="s">
        <v>60</v>
      </c>
      <c r="C33" s="165"/>
      <c r="D33" s="166" t="s">
        <v>48</v>
      </c>
      <c r="E33" s="167" t="s">
        <v>49</v>
      </c>
      <c r="F33" s="168" t="s">
        <v>50</v>
      </c>
      <c r="G33" s="168" t="s">
        <v>51</v>
      </c>
      <c r="H33" s="169" t="s">
        <v>0</v>
      </c>
      <c r="I33" s="167" t="s">
        <v>52</v>
      </c>
      <c r="J33" s="167" t="s">
        <v>53</v>
      </c>
      <c r="K33" s="170" t="s">
        <v>54</v>
      </c>
      <c r="L33" s="200"/>
      <c r="M33" s="172" t="s">
        <v>1</v>
      </c>
      <c r="N33" s="172" t="s">
        <v>55</v>
      </c>
      <c r="O33" s="173" t="s">
        <v>17</v>
      </c>
      <c r="Q33" s="195" t="str">
        <f aca="false">Настройки!$N$7</f>
        <v>Взял отзыв у клиента или рекомендацию у клиента</v>
      </c>
      <c r="R33" s="196"/>
      <c r="S33" s="188" t="n">
        <v>0</v>
      </c>
      <c r="T33" s="189" t="n">
        <f aca="false">Настройки!$O$7</f>
        <v>300</v>
      </c>
      <c r="U33" s="237" t="n">
        <f aca="false">T33*S33</f>
        <v>0</v>
      </c>
    </row>
    <row r="34" customFormat="false" ht="20.1" hidden="false" customHeight="true" outlineLevel="0" collapsed="false">
      <c r="A34" s="146" t="str">
        <f aca="false">IF(B28&lt;&gt;"","Доп","")</f>
        <v>Доп</v>
      </c>
      <c r="B34" s="177" t="s">
        <v>57</v>
      </c>
      <c r="C34" s="178" t="n">
        <v>1</v>
      </c>
      <c r="D34" s="179" t="s">
        <v>58</v>
      </c>
      <c r="E34" s="180" t="n">
        <f aca="false">H34*0.4</f>
        <v>0</v>
      </c>
      <c r="F34" s="180" t="n">
        <f aca="false">H34*0.6</f>
        <v>0</v>
      </c>
      <c r="G34" s="180" t="n">
        <f aca="false">H34*0.8</f>
        <v>0</v>
      </c>
      <c r="H34" s="181" t="n">
        <f aca="false">$S$2/COUNTIF($A$1:$A$9604,"Доп")*C34</f>
        <v>0</v>
      </c>
      <c r="I34" s="180" t="n">
        <f aca="false">H34*1.2</f>
        <v>0</v>
      </c>
      <c r="J34" s="180" t="n">
        <f aca="false">H34*1.4</f>
        <v>0</v>
      </c>
      <c r="K34" s="182" t="n">
        <f aca="false">H34*1.6</f>
        <v>0</v>
      </c>
      <c r="L34" s="200"/>
      <c r="M34" s="197" t="n">
        <f aca="false">ФактДопыМенеджер2</f>
        <v>0</v>
      </c>
      <c r="N34" s="184" t="n">
        <f aca="false">IF(M34&lt;E34,0,INDEX(E35:K35,MATCH(M34,E34:K34,1)))</f>
        <v>0.25</v>
      </c>
      <c r="O34" s="185" t="n">
        <f aca="false">M34*N34</f>
        <v>0</v>
      </c>
      <c r="Q34" s="195" t="str">
        <f aca="false">Настройки!$N$8</f>
        <v>Выход на работу в выходной или праздничный день</v>
      </c>
      <c r="R34" s="196"/>
      <c r="S34" s="188" t="n">
        <v>0</v>
      </c>
      <c r="T34" s="189" t="n">
        <f aca="false">Настройки!$O$8</f>
        <v>500</v>
      </c>
      <c r="U34" s="237" t="n">
        <f aca="false">T34*S34</f>
        <v>0</v>
      </c>
    </row>
    <row r="35" customFormat="false" ht="20.1" hidden="false" customHeight="true" outlineLevel="0" collapsed="false">
      <c r="A35" s="146"/>
      <c r="B35" s="177"/>
      <c r="C35" s="178"/>
      <c r="D35" s="191" t="s">
        <v>59</v>
      </c>
      <c r="E35" s="192" t="n">
        <f aca="false">БонусДопы1</f>
        <v>0.1</v>
      </c>
      <c r="F35" s="192" t="n">
        <f aca="false">БонусДопы2</f>
        <v>0.12</v>
      </c>
      <c r="G35" s="192" t="n">
        <f aca="false">БонусДопы3</f>
        <v>0.14</v>
      </c>
      <c r="H35" s="193" t="n">
        <f aca="false">БонусДопы4</f>
        <v>0.18</v>
      </c>
      <c r="I35" s="192" t="n">
        <f aca="false">БонусДопы5</f>
        <v>0.2</v>
      </c>
      <c r="J35" s="192" t="n">
        <f aca="false">БонусДопы6</f>
        <v>0.22</v>
      </c>
      <c r="K35" s="194" t="n">
        <f aca="false">БонусДопы7</f>
        <v>0.25</v>
      </c>
      <c r="L35" s="200"/>
      <c r="M35" s="197"/>
      <c r="N35" s="184"/>
      <c r="O35" s="185"/>
      <c r="Q35" s="186" t="str">
        <f aca="false">Настройки!$N$9</f>
        <v>Заполнение полной информации об отеле в таблице отелей</v>
      </c>
      <c r="R35" s="198"/>
      <c r="S35" s="188" t="n">
        <v>0</v>
      </c>
      <c r="T35" s="189" t="n">
        <f aca="false">Настройки!$O$9</f>
        <v>100</v>
      </c>
      <c r="U35" s="237" t="n">
        <f aca="false">T35*S35</f>
        <v>0</v>
      </c>
    </row>
    <row r="36" customFormat="false" ht="20.1" hidden="false" customHeight="true" outlineLevel="1" collapsed="false">
      <c r="A36" s="146"/>
      <c r="B36" s="165" t="s">
        <v>61</v>
      </c>
      <c r="C36" s="165"/>
      <c r="D36" s="165"/>
      <c r="E36" s="165"/>
      <c r="F36" s="165"/>
      <c r="G36" s="165"/>
      <c r="H36" s="165"/>
      <c r="I36" s="165"/>
      <c r="J36" s="165"/>
      <c r="K36" s="165"/>
      <c r="M36" s="172" t="s">
        <v>1</v>
      </c>
      <c r="N36" s="172" t="s">
        <v>15</v>
      </c>
      <c r="O36" s="173" t="s">
        <v>17</v>
      </c>
      <c r="Q36" s="186" t="str">
        <f aca="false">Настройки!$N$10</f>
        <v>Подготовил презентацию или доклад по направлению</v>
      </c>
      <c r="R36" s="198"/>
      <c r="S36" s="188" t="n">
        <v>0</v>
      </c>
      <c r="T36" s="189" t="n">
        <f aca="false">Настройки!$O$10</f>
        <v>300</v>
      </c>
      <c r="U36" s="237" t="n">
        <f aca="false">T36*S36</f>
        <v>0</v>
      </c>
    </row>
    <row r="37" customFormat="false" ht="20.1" hidden="false" customHeight="true" outlineLevel="1" collapsed="false">
      <c r="A37" s="146"/>
      <c r="B37" s="201"/>
      <c r="C37" s="201"/>
      <c r="D37" s="201"/>
      <c r="E37" s="201"/>
      <c r="F37" s="201"/>
      <c r="G37" s="201"/>
      <c r="H37" s="201"/>
      <c r="I37" s="201"/>
      <c r="J37" s="238" t="s">
        <v>58</v>
      </c>
      <c r="K37" s="204"/>
      <c r="M37" s="204"/>
      <c r="N37" s="204"/>
      <c r="O37" s="205" t="n">
        <f aca="false">IF(M37&lt;N37,0,IF(M37&gt;=K37,K38,M37/K37*K38))</f>
        <v>0</v>
      </c>
      <c r="Q37" s="206" t="str">
        <f aca="false">Настройки!$N$11</f>
        <v>Подготовил выпуск рассылки</v>
      </c>
      <c r="R37" s="196"/>
      <c r="S37" s="204" t="n">
        <v>0</v>
      </c>
      <c r="T37" s="189" t="n">
        <f aca="false">Настройки!$O$11</f>
        <v>500</v>
      </c>
      <c r="U37" s="237" t="n">
        <f aca="false">T37*S37</f>
        <v>0</v>
      </c>
    </row>
    <row r="38" customFormat="false" ht="20.1" hidden="false" customHeight="true" outlineLevel="1" collapsed="false">
      <c r="A38" s="146"/>
      <c r="B38" s="201"/>
      <c r="C38" s="201"/>
      <c r="D38" s="201"/>
      <c r="E38" s="201"/>
      <c r="F38" s="201"/>
      <c r="G38" s="201"/>
      <c r="H38" s="201"/>
      <c r="I38" s="201"/>
      <c r="J38" s="239" t="s">
        <v>62</v>
      </c>
      <c r="K38" s="240"/>
      <c r="M38" s="204"/>
      <c r="N38" s="204"/>
      <c r="O38" s="205"/>
      <c r="Q38" s="209"/>
      <c r="R38" s="209"/>
      <c r="S38" s="210"/>
      <c r="T38" s="211"/>
      <c r="U38" s="210"/>
    </row>
    <row r="39" customFormat="false" ht="20.1" hidden="false" customHeight="true" outlineLevel="1" collapsed="false">
      <c r="A39" s="146"/>
      <c r="B39" s="201"/>
      <c r="C39" s="201"/>
      <c r="D39" s="201"/>
      <c r="E39" s="201"/>
      <c r="F39" s="201"/>
      <c r="G39" s="201"/>
      <c r="H39" s="201"/>
      <c r="I39" s="201"/>
      <c r="J39" s="238" t="s">
        <v>58</v>
      </c>
      <c r="K39" s="188"/>
      <c r="M39" s="204"/>
      <c r="N39" s="204"/>
      <c r="O39" s="205" t="n">
        <f aca="false">IF(M39&lt;N39,0,IF(M39&gt;=K39,K40,M39/K39*K40))</f>
        <v>0</v>
      </c>
      <c r="Q39" s="213" t="s">
        <v>12</v>
      </c>
      <c r="R39" s="175"/>
      <c r="S39" s="214" t="s">
        <v>56</v>
      </c>
      <c r="T39" s="215" t="s">
        <v>10</v>
      </c>
      <c r="U39" s="216" t="s">
        <v>11</v>
      </c>
    </row>
    <row r="40" customFormat="false" ht="20.1" hidden="false" customHeight="true" outlineLevel="1" collapsed="false">
      <c r="A40" s="146"/>
      <c r="B40" s="201"/>
      <c r="C40" s="201"/>
      <c r="D40" s="201"/>
      <c r="E40" s="201"/>
      <c r="F40" s="201"/>
      <c r="G40" s="201"/>
      <c r="H40" s="201"/>
      <c r="I40" s="201"/>
      <c r="J40" s="239" t="s">
        <v>62</v>
      </c>
      <c r="K40" s="241"/>
      <c r="M40" s="204"/>
      <c r="N40" s="204"/>
      <c r="O40" s="205"/>
      <c r="Q40" s="218" t="str">
        <f aca="false">Настройки!$K$5</f>
        <v>Опоздал на работу</v>
      </c>
      <c r="R40" s="175"/>
      <c r="S40" s="219" t="n">
        <v>0</v>
      </c>
      <c r="T40" s="189" t="n">
        <f aca="false">Настройки!$L$5</f>
        <v>250</v>
      </c>
      <c r="U40" s="237" t="n">
        <f aca="false">T40*S40</f>
        <v>0</v>
      </c>
    </row>
    <row r="41" customFormat="false" ht="20.1" hidden="false" customHeight="true" outlineLevel="1" collapsed="false">
      <c r="A41" s="146"/>
      <c r="B41" s="201"/>
      <c r="C41" s="201"/>
      <c r="D41" s="201"/>
      <c r="E41" s="201"/>
      <c r="F41" s="201"/>
      <c r="G41" s="201"/>
      <c r="H41" s="201"/>
      <c r="I41" s="201"/>
      <c r="J41" s="238" t="s">
        <v>58</v>
      </c>
      <c r="K41" s="188"/>
      <c r="M41" s="204"/>
      <c r="N41" s="204"/>
      <c r="O41" s="205" t="n">
        <f aca="false">IF(M41&lt;N41,0,IF(M41&gt;=K41,K42,M41/K41*K42))</f>
        <v>0</v>
      </c>
      <c r="Q41" s="218" t="str">
        <f aca="false">Настройки!$K$6</f>
        <v>Опоздал на работу не предупредив об этом по телефону</v>
      </c>
      <c r="R41" s="175"/>
      <c r="S41" s="219" t="n">
        <v>0</v>
      </c>
      <c r="T41" s="189" t="n">
        <f aca="false">Настройки!$L$6</f>
        <v>300</v>
      </c>
      <c r="U41" s="237" t="n">
        <f aca="false">T41*S41</f>
        <v>0</v>
      </c>
    </row>
    <row r="42" customFormat="false" ht="20.1" hidden="false" customHeight="true" outlineLevel="1" collapsed="false">
      <c r="A42" s="146"/>
      <c r="B42" s="201"/>
      <c r="C42" s="201"/>
      <c r="D42" s="201"/>
      <c r="E42" s="201"/>
      <c r="F42" s="201"/>
      <c r="G42" s="201"/>
      <c r="H42" s="201"/>
      <c r="I42" s="201"/>
      <c r="J42" s="239" t="s">
        <v>62</v>
      </c>
      <c r="K42" s="241"/>
      <c r="M42" s="204"/>
      <c r="N42" s="204"/>
      <c r="O42" s="205"/>
      <c r="Q42" s="218" t="str">
        <f aca="false">Настройки!$K$7</f>
        <v>Негативный отзыв клиента о работе менеджера</v>
      </c>
      <c r="R42" s="187"/>
      <c r="S42" s="220" t="n">
        <v>0</v>
      </c>
      <c r="T42" s="189" t="n">
        <f aca="false">Настройки!$L$7</f>
        <v>400</v>
      </c>
      <c r="U42" s="237" t="n">
        <f aca="false">T42*S42</f>
        <v>0</v>
      </c>
    </row>
    <row r="43" customFormat="false" ht="20.1" hidden="false" customHeight="true" outlineLevel="1" collapsed="false">
      <c r="A43" s="146"/>
      <c r="B43" s="201"/>
      <c r="C43" s="201"/>
      <c r="D43" s="201"/>
      <c r="E43" s="201"/>
      <c r="F43" s="201"/>
      <c r="G43" s="201"/>
      <c r="H43" s="201"/>
      <c r="I43" s="201"/>
      <c r="J43" s="238" t="s">
        <v>58</v>
      </c>
      <c r="K43" s="188"/>
      <c r="M43" s="204"/>
      <c r="N43" s="204"/>
      <c r="O43" s="205" t="n">
        <f aca="false">IF(M43&lt;N43,0,IF(M43&gt;=K43,K44,M43/K43*K44))</f>
        <v>0</v>
      </c>
      <c r="Q43" s="218" t="str">
        <f aca="false">Настройки!$K$8</f>
        <v>Допущенна ошибка в договоре с туристом</v>
      </c>
      <c r="R43" s="196"/>
      <c r="S43" s="220" t="n">
        <v>0</v>
      </c>
      <c r="T43" s="189" t="n">
        <f aca="false">Настройки!$L$8</f>
        <v>500</v>
      </c>
      <c r="U43" s="237" t="n">
        <f aca="false">T43*S43</f>
        <v>0</v>
      </c>
    </row>
    <row r="44" customFormat="false" ht="20.1" hidden="false" customHeight="true" outlineLevel="1" collapsed="false">
      <c r="A44" s="146"/>
      <c r="B44" s="201"/>
      <c r="C44" s="201"/>
      <c r="D44" s="201"/>
      <c r="E44" s="201"/>
      <c r="F44" s="201"/>
      <c r="G44" s="201"/>
      <c r="H44" s="201"/>
      <c r="I44" s="201"/>
      <c r="J44" s="239" t="s">
        <v>62</v>
      </c>
      <c r="K44" s="241"/>
      <c r="M44" s="204"/>
      <c r="N44" s="204"/>
      <c r="O44" s="205"/>
      <c r="Q44" s="221" t="str">
        <f aca="false">Настройки!$K$9</f>
        <v>Не внесена информация о взаимодействии с клиентом в CRM</v>
      </c>
      <c r="R44" s="196"/>
      <c r="S44" s="219" t="n">
        <v>0</v>
      </c>
      <c r="T44" s="189" t="n">
        <f aca="false">Настройки!$L$9</f>
        <v>250</v>
      </c>
      <c r="U44" s="237" t="n">
        <f aca="false">T44*S44</f>
        <v>0</v>
      </c>
    </row>
    <row r="45" customFormat="false" ht="20.1" hidden="false" customHeight="true" outlineLevel="1" collapsed="false">
      <c r="A45" s="146"/>
      <c r="B45" s="222"/>
      <c r="C45" s="222"/>
      <c r="D45" s="222"/>
      <c r="E45" s="222"/>
      <c r="F45" s="222"/>
      <c r="G45" s="222"/>
      <c r="H45" s="222"/>
      <c r="I45" s="222"/>
      <c r="J45" s="238" t="s">
        <v>58</v>
      </c>
      <c r="K45" s="188"/>
      <c r="M45" s="224"/>
      <c r="N45" s="224"/>
      <c r="O45" s="185" t="n">
        <f aca="false">IF(M45&lt;N45,0,IF(M45&gt;=K45,K46,M45/K45*K46))</f>
        <v>0</v>
      </c>
      <c r="Q45" s="221" t="str">
        <f aca="false">Настройки!$K$10</f>
        <v>Не знание рекламных акций турагентства</v>
      </c>
      <c r="R45" s="196"/>
      <c r="S45" s="219" t="n">
        <v>0</v>
      </c>
      <c r="T45" s="189" t="n">
        <f aca="false">Настройки!$L$10</f>
        <v>250</v>
      </c>
      <c r="U45" s="237" t="n">
        <f aca="false">T45*S45</f>
        <v>0</v>
      </c>
    </row>
    <row r="46" customFormat="false" ht="20.1" hidden="false" customHeight="true" outlineLevel="1" collapsed="false">
      <c r="A46" s="146"/>
      <c r="B46" s="222"/>
      <c r="C46" s="222"/>
      <c r="D46" s="222"/>
      <c r="E46" s="222"/>
      <c r="F46" s="222"/>
      <c r="G46" s="222"/>
      <c r="H46" s="222"/>
      <c r="I46" s="222"/>
      <c r="J46" s="242" t="s">
        <v>62</v>
      </c>
      <c r="K46" s="243"/>
      <c r="M46" s="224"/>
      <c r="N46" s="224"/>
      <c r="O46" s="185"/>
      <c r="Q46" s="227" t="str">
        <f aca="false">Настройки!$K$11</f>
        <v>В CRM указан не корректный источник рекламы</v>
      </c>
      <c r="R46" s="198"/>
      <c r="S46" s="228" t="n">
        <v>0</v>
      </c>
      <c r="T46" s="189" t="n">
        <f aca="false">Настройки!$L$11</f>
        <v>250</v>
      </c>
      <c r="U46" s="244" t="n">
        <f aca="false">T46*S46</f>
        <v>0</v>
      </c>
    </row>
    <row r="47" customFormat="false" ht="20.1" hidden="false" customHeight="true" outlineLevel="0" collapsed="false">
      <c r="A47" s="146"/>
      <c r="B47" s="230" t="s">
        <v>63</v>
      </c>
      <c r="C47" s="230"/>
      <c r="D47" s="230"/>
      <c r="E47" s="230"/>
      <c r="F47" s="230"/>
      <c r="G47" s="230"/>
      <c r="H47" s="230"/>
      <c r="I47" s="230"/>
      <c r="J47" s="231" t="n">
        <v>0</v>
      </c>
      <c r="K47" s="231"/>
      <c r="L47" s="200"/>
      <c r="M47" s="232" t="s">
        <v>23</v>
      </c>
      <c r="N47" s="232"/>
      <c r="O47" s="233" t="n">
        <f aca="false">SUM(J47,O31,IFERROR(O34,0),O37:O46,S47)</f>
        <v>0</v>
      </c>
      <c r="Q47" s="234" t="s">
        <v>64</v>
      </c>
      <c r="R47" s="198"/>
      <c r="S47" s="235" t="n">
        <f aca="false">SUM(U31:U37)-SUM(U39:U46)</f>
        <v>0</v>
      </c>
      <c r="T47" s="235"/>
      <c r="U47" s="235"/>
    </row>
    <row r="48" customFormat="false" ht="20.1" hidden="false" customHeight="true" outlineLevel="0" collapsed="false">
      <c r="A48" s="146"/>
      <c r="B48" s="230"/>
      <c r="C48" s="230"/>
      <c r="D48" s="230"/>
      <c r="E48" s="230"/>
      <c r="F48" s="230"/>
      <c r="G48" s="230"/>
      <c r="H48" s="230"/>
      <c r="I48" s="230"/>
      <c r="J48" s="231"/>
      <c r="K48" s="231"/>
      <c r="L48" s="200"/>
      <c r="M48" s="232"/>
      <c r="N48" s="232"/>
      <c r="O48" s="233"/>
      <c r="Q48" s="234"/>
      <c r="R48" s="196"/>
      <c r="S48" s="235"/>
      <c r="T48" s="235"/>
      <c r="U48" s="235"/>
    </row>
  </sheetData>
  <mergeCells count="86">
    <mergeCell ref="C2:D2"/>
    <mergeCell ref="E2:K2"/>
    <mergeCell ref="M2:O2"/>
    <mergeCell ref="S2:U2"/>
    <mergeCell ref="B4:O4"/>
    <mergeCell ref="Q4:U4"/>
    <mergeCell ref="B6:U6"/>
    <mergeCell ref="B8:C8"/>
    <mergeCell ref="B9:B10"/>
    <mergeCell ref="C9:C10"/>
    <mergeCell ref="M9:M10"/>
    <mergeCell ref="N9:N10"/>
    <mergeCell ref="O9:O10"/>
    <mergeCell ref="B11:C11"/>
    <mergeCell ref="B12:B13"/>
    <mergeCell ref="C12:C13"/>
    <mergeCell ref="M12:M13"/>
    <mergeCell ref="N12:N13"/>
    <mergeCell ref="O12:O13"/>
    <mergeCell ref="B14:K14"/>
    <mergeCell ref="B15:I16"/>
    <mergeCell ref="M15:M16"/>
    <mergeCell ref="N15:N16"/>
    <mergeCell ref="O15:O16"/>
    <mergeCell ref="B17:I18"/>
    <mergeCell ref="M17:M18"/>
    <mergeCell ref="N17:N18"/>
    <mergeCell ref="O17:O18"/>
    <mergeCell ref="B19:I20"/>
    <mergeCell ref="M19:M20"/>
    <mergeCell ref="N19:N20"/>
    <mergeCell ref="O19:O20"/>
    <mergeCell ref="B21:I22"/>
    <mergeCell ref="M21:M22"/>
    <mergeCell ref="N21:N22"/>
    <mergeCell ref="O21:O22"/>
    <mergeCell ref="B23:I24"/>
    <mergeCell ref="M23:M24"/>
    <mergeCell ref="N23:N24"/>
    <mergeCell ref="O23:O24"/>
    <mergeCell ref="B25:I26"/>
    <mergeCell ref="J25:K26"/>
    <mergeCell ref="M25:N26"/>
    <mergeCell ref="O25:O26"/>
    <mergeCell ref="Q25:Q26"/>
    <mergeCell ref="S25:U26"/>
    <mergeCell ref="B28:U28"/>
    <mergeCell ref="B30:C30"/>
    <mergeCell ref="B31:B32"/>
    <mergeCell ref="C31:C32"/>
    <mergeCell ref="M31:M32"/>
    <mergeCell ref="N31:N32"/>
    <mergeCell ref="O31:O32"/>
    <mergeCell ref="B33:C33"/>
    <mergeCell ref="B34:B35"/>
    <mergeCell ref="C34:C35"/>
    <mergeCell ref="M34:M35"/>
    <mergeCell ref="N34:N35"/>
    <mergeCell ref="O34:O35"/>
    <mergeCell ref="B36:K36"/>
    <mergeCell ref="B37:I38"/>
    <mergeCell ref="M37:M38"/>
    <mergeCell ref="N37:N38"/>
    <mergeCell ref="O37:O38"/>
    <mergeCell ref="B39:I40"/>
    <mergeCell ref="M39:M40"/>
    <mergeCell ref="N39:N40"/>
    <mergeCell ref="O39:O40"/>
    <mergeCell ref="B41:I42"/>
    <mergeCell ref="M41:M42"/>
    <mergeCell ref="N41:N42"/>
    <mergeCell ref="O41:O42"/>
    <mergeCell ref="B43:I44"/>
    <mergeCell ref="M43:M44"/>
    <mergeCell ref="N43:N44"/>
    <mergeCell ref="O43:O44"/>
    <mergeCell ref="B45:I46"/>
    <mergeCell ref="M45:M46"/>
    <mergeCell ref="N45:N46"/>
    <mergeCell ref="O45:O46"/>
    <mergeCell ref="B47:I48"/>
    <mergeCell ref="J47:K48"/>
    <mergeCell ref="M47:N48"/>
    <mergeCell ref="O47:O48"/>
    <mergeCell ref="Q47:Q48"/>
    <mergeCell ref="S47:U48"/>
  </mergeCells>
  <conditionalFormatting sqref="S25:U26">
    <cfRule type="cellIs" priority="2" operator="lessThan" aboveAverage="0" equalAverage="0" bottom="0" percent="0" rank="0" text="" dxfId="123">
      <formula>0</formula>
    </cfRule>
    <cfRule type="cellIs" priority="3" operator="greaterThan" aboveAverage="0" equalAverage="0" bottom="0" percent="0" rank="0" text="" dxfId="124">
      <formula>0</formula>
    </cfRule>
  </conditionalFormatting>
  <conditionalFormatting sqref="S9:S15">
    <cfRule type="colorScale" priority="4">
      <colorScale>
        <cfvo type="min" val="0"/>
        <cfvo type="max" val="0"/>
        <color rgb="FFFCFCFF"/>
        <color rgb="FF63BE7B"/>
      </colorScale>
    </cfRule>
  </conditionalFormatting>
  <conditionalFormatting sqref="U9:U15">
    <cfRule type="colorScale" priority="5">
      <colorScale>
        <cfvo type="min" val="0"/>
        <cfvo type="max" val="0"/>
        <color rgb="FFFCFCFF"/>
        <color rgb="FF63BE7B"/>
      </colorScale>
    </cfRule>
  </conditionalFormatting>
  <conditionalFormatting sqref="S18:S24">
    <cfRule type="colorScale" priority="6">
      <colorScale>
        <cfvo type="min" val="0"/>
        <cfvo type="max" val="0"/>
        <color rgb="FFFCFCFF"/>
        <color rgb="FFF8696B"/>
      </colorScale>
    </cfRule>
  </conditionalFormatting>
  <conditionalFormatting sqref="U18:U24">
    <cfRule type="colorScale" priority="7">
      <colorScale>
        <cfvo type="min" val="0"/>
        <cfvo type="max" val="0"/>
        <color rgb="FFFCFCFF"/>
        <color rgb="FFF8696B"/>
      </colorScale>
    </cfRule>
  </conditionalFormatting>
  <conditionalFormatting sqref="U32:U37">
    <cfRule type="colorScale" priority="8">
      <colorScale>
        <cfvo type="min" val="0"/>
        <cfvo type="max" val="0"/>
        <color rgb="FFFCFCFF"/>
        <color rgb="FF63BE7B"/>
      </colorScale>
    </cfRule>
  </conditionalFormatting>
  <conditionalFormatting sqref="U40:U46">
    <cfRule type="colorScale" priority="9">
      <colorScale>
        <cfvo type="min" val="0"/>
        <cfvo type="max" val="0"/>
        <color rgb="FFFCFCFF"/>
        <color rgb="FFF8696B"/>
      </colorScale>
    </cfRule>
  </conditionalFormatting>
  <conditionalFormatting sqref="S47:U48">
    <cfRule type="cellIs" priority="10" operator="lessThan" aboveAverage="0" equalAverage="0" bottom="0" percent="0" rank="0" text="" dxfId="125">
      <formula>0</formula>
    </cfRule>
    <cfRule type="cellIs" priority="11" operator="greaterThan" aboveAverage="0" equalAverage="0" bottom="0" percent="0" rank="0" text="" dxfId="126">
      <formula>0</formula>
    </cfRule>
  </conditionalFormatting>
  <conditionalFormatting sqref="U31">
    <cfRule type="colorScale" priority="12">
      <colorScale>
        <cfvo type="min" val="0"/>
        <cfvo type="max" val="0"/>
        <color rgb="FFFCFCFF"/>
        <color rgb="FF63BE7B"/>
      </colorScale>
    </cfRule>
  </conditionalFormatting>
  <conditionalFormatting sqref="U31:U37">
    <cfRule type="colorScale" priority="13">
      <colorScale>
        <cfvo type="min" val="0"/>
        <cfvo type="max" val="0"/>
        <color rgb="FFFCFCFF"/>
        <color rgb="FF63BE7B"/>
      </colorScale>
    </cfRule>
  </conditionalFormatting>
  <conditionalFormatting sqref="B4:O4">
    <cfRule type="cellIs" priority="14" operator="notEqual" aboveAverage="0" equalAverage="0" bottom="0" percent="0" rank="0" text="" dxfId="127">
      <formula>"Распределение плана продаж и расчет ЗП"</formula>
    </cfRule>
  </conditionalFormatting>
  <conditionalFormatting sqref="E9:K9">
    <cfRule type="cellIs" priority="15" operator="lessThanOrEqual" aboveAverage="0" equalAverage="0" bottom="0" percent="0" rank="0" text="" dxfId="128">
      <formula>$M9</formula>
    </cfRule>
  </conditionalFormatting>
  <conditionalFormatting sqref="E12:K12">
    <cfRule type="cellIs" priority="16" operator="lessThanOrEqual" aboveAverage="0" equalAverage="0" bottom="0" percent="0" rank="0" text="" dxfId="129">
      <formula>$M12</formula>
    </cfRule>
  </conditionalFormatting>
  <conditionalFormatting sqref="E31:K31">
    <cfRule type="cellIs" priority="17" operator="lessThanOrEqual" aboveAverage="0" equalAverage="0" bottom="0" percent="0" rank="0" text="" dxfId="130">
      <formula>$M31</formula>
    </cfRule>
  </conditionalFormatting>
  <conditionalFormatting sqref="E34:K34">
    <cfRule type="cellIs" priority="18" operator="lessThanOrEqual" aboveAverage="0" equalAverage="0" bottom="0" percent="0" rank="0" text="" dxfId="131">
      <formula>$M34</formula>
    </cfRule>
  </conditionalFormatting>
  <conditionalFormatting sqref="S31:S37">
    <cfRule type="colorScale" priority="19">
      <colorScale>
        <cfvo type="min" val="0"/>
        <cfvo type="max" val="0"/>
        <color rgb="FFFCFCFF"/>
        <color rgb="FF63BE7B"/>
      </colorScale>
    </cfRule>
  </conditionalFormatting>
  <conditionalFormatting sqref="S40:S46">
    <cfRule type="colorScale" priority="20">
      <colorScale>
        <cfvo type="min" val="0"/>
        <cfvo type="max" val="0"/>
        <color rgb="FFFCFCFF"/>
        <color rgb="FFF8696B"/>
      </colorScale>
    </cfRule>
  </conditionalFormatting>
  <dataValidations count="2">
    <dataValidation allowBlank="true" operator="between" showDropDown="false" showErrorMessage="true" showInputMessage="true" sqref="C2:D2" type="list">
      <formula1>"Январь,Февраль,Март,Апрель,Май,Июнь,Июль,Август,Сентябрь,Октябрь,Ноябрь,Декабрь"</formula1>
      <formula2>0</formula2>
    </dataValidation>
    <dataValidation allowBlank="true" operator="between" showDropDown="false" showErrorMessage="false" showInputMessage="true" sqref="C9:C10 C12:C13 C31:C32 C34:C35" type="list">
      <formula1>"50%,60%,70%,80%,90%,100%,110%,120%,130%,140%,150%"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O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3" activeCellId="0" sqref="A13"/>
    </sheetView>
  </sheetViews>
  <sheetFormatPr defaultRowHeight="15.75" zeroHeight="false" outlineLevelRow="0" outlineLevelCol="0"/>
  <cols>
    <col collapsed="false" customWidth="true" hidden="false" outlineLevel="0" max="1" min="1" style="0" width="3.87"/>
    <col collapsed="false" customWidth="true" hidden="false" outlineLevel="0" max="2" min="2" style="0" width="26.62"/>
    <col collapsed="false" customWidth="true" hidden="false" outlineLevel="0" max="3" min="3" style="0" width="8.38"/>
    <col collapsed="false" customWidth="true" hidden="false" outlineLevel="0" max="4" min="4" style="0" width="1.62"/>
    <col collapsed="false" customWidth="true" hidden="false" outlineLevel="0" max="6" min="5" style="0" width="21.63"/>
    <col collapsed="false" customWidth="true" hidden="false" outlineLevel="0" max="7" min="7" style="0" width="1.62"/>
    <col collapsed="false" customWidth="true" hidden="false" outlineLevel="0" max="9" min="8" style="0" width="21.63"/>
    <col collapsed="false" customWidth="true" hidden="false" outlineLevel="0" max="10" min="10" style="0" width="1.62"/>
    <col collapsed="false" customWidth="true" hidden="false" outlineLevel="0" max="11" min="11" style="0" width="58.38"/>
    <col collapsed="false" customWidth="true" hidden="false" outlineLevel="0" max="12" min="12" style="0" width="8.38"/>
    <col collapsed="false" customWidth="true" hidden="false" outlineLevel="0" max="13" min="13" style="0" width="1.62"/>
    <col collapsed="false" customWidth="true" hidden="false" outlineLevel="0" max="14" min="14" style="0" width="58.38"/>
    <col collapsed="false" customWidth="true" hidden="false" outlineLevel="0" max="15" min="15" style="0" width="8.38"/>
    <col collapsed="false" customWidth="true" hidden="false" outlineLevel="0" max="1025" min="16" style="0" width="11"/>
  </cols>
  <sheetData>
    <row r="1" customFormat="false" ht="16.5" hidden="false" customHeight="false" outlineLevel="0" collapsed="false"/>
    <row r="2" customFormat="false" ht="21.75" hidden="false" customHeight="false" outlineLevel="0" collapsed="false">
      <c r="B2" s="245" t="s">
        <v>66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</row>
    <row r="3" customFormat="false" ht="15.75" hidden="false" customHeight="false" outlineLevel="0" collapsed="false">
      <c r="N3" s="16"/>
    </row>
    <row r="4" customFormat="false" ht="15.75" hidden="false" customHeight="false" outlineLevel="0" collapsed="false">
      <c r="B4" s="246" t="s">
        <v>67</v>
      </c>
      <c r="C4" s="246" t="s">
        <v>68</v>
      </c>
      <c r="D4" s="247"/>
      <c r="E4" s="248" t="s">
        <v>69</v>
      </c>
      <c r="F4" s="248" t="s">
        <v>70</v>
      </c>
      <c r="G4" s="249"/>
      <c r="H4" s="248" t="s">
        <v>71</v>
      </c>
      <c r="I4" s="248" t="s">
        <v>70</v>
      </c>
      <c r="J4" s="249"/>
      <c r="K4" s="250" t="s">
        <v>12</v>
      </c>
      <c r="L4" s="246" t="s">
        <v>72</v>
      </c>
      <c r="M4" s="249"/>
      <c r="N4" s="250" t="s">
        <v>8</v>
      </c>
      <c r="O4" s="246" t="s">
        <v>16</v>
      </c>
    </row>
    <row r="5" customFormat="false" ht="15.75" hidden="false" customHeight="false" outlineLevel="0" collapsed="false">
      <c r="B5" s="251" t="s">
        <v>73</v>
      </c>
      <c r="C5" s="252" t="n">
        <v>0.15</v>
      </c>
      <c r="D5" s="253"/>
      <c r="E5" s="254" t="s">
        <v>49</v>
      </c>
      <c r="F5" s="255" t="n">
        <v>0.1</v>
      </c>
      <c r="H5" s="254" t="s">
        <v>49</v>
      </c>
      <c r="I5" s="255" t="n">
        <v>0.1</v>
      </c>
      <c r="K5" s="256" t="s">
        <v>74</v>
      </c>
      <c r="L5" s="257" t="n">
        <v>250</v>
      </c>
      <c r="N5" s="256" t="s">
        <v>75</v>
      </c>
      <c r="O5" s="257" t="n">
        <v>100</v>
      </c>
    </row>
    <row r="6" customFormat="false" ht="15.75" hidden="false" customHeight="false" outlineLevel="0" collapsed="false">
      <c r="B6" s="251" t="s">
        <v>76</v>
      </c>
      <c r="C6" s="252" t="n">
        <v>0.22</v>
      </c>
      <c r="D6" s="253"/>
      <c r="E6" s="254" t="s">
        <v>50</v>
      </c>
      <c r="F6" s="255" t="n">
        <v>0.12</v>
      </c>
      <c r="H6" s="254" t="s">
        <v>50</v>
      </c>
      <c r="I6" s="255" t="n">
        <v>0.12</v>
      </c>
      <c r="K6" s="251" t="s">
        <v>77</v>
      </c>
      <c r="L6" s="258" t="n">
        <v>300</v>
      </c>
      <c r="N6" s="251" t="s">
        <v>78</v>
      </c>
      <c r="O6" s="258" t="n">
        <v>300</v>
      </c>
    </row>
    <row r="7" customFormat="false" ht="15.75" hidden="false" customHeight="false" outlineLevel="0" collapsed="false">
      <c r="B7" s="251" t="s">
        <v>79</v>
      </c>
      <c r="C7" s="252" t="n">
        <v>0.25</v>
      </c>
      <c r="D7" s="253"/>
      <c r="E7" s="254" t="s">
        <v>51</v>
      </c>
      <c r="F7" s="255" t="n">
        <v>0.14</v>
      </c>
      <c r="H7" s="254" t="s">
        <v>51</v>
      </c>
      <c r="I7" s="255" t="n">
        <v>0.14</v>
      </c>
      <c r="K7" s="251" t="s">
        <v>80</v>
      </c>
      <c r="L7" s="258" t="n">
        <v>400</v>
      </c>
      <c r="N7" s="251" t="s">
        <v>81</v>
      </c>
      <c r="O7" s="258" t="n">
        <v>300</v>
      </c>
    </row>
    <row r="8" customFormat="false" ht="15.75" hidden="false" customHeight="false" outlineLevel="0" collapsed="false">
      <c r="B8" s="251" t="s">
        <v>82</v>
      </c>
      <c r="C8" s="252" t="n">
        <v>0.3</v>
      </c>
      <c r="D8" s="253"/>
      <c r="E8" s="259" t="s">
        <v>0</v>
      </c>
      <c r="F8" s="260" t="n">
        <v>0.18</v>
      </c>
      <c r="H8" s="259" t="s">
        <v>0</v>
      </c>
      <c r="I8" s="260" t="n">
        <v>0.18</v>
      </c>
      <c r="K8" s="251" t="s">
        <v>83</v>
      </c>
      <c r="L8" s="258" t="n">
        <v>500</v>
      </c>
      <c r="N8" s="251" t="s">
        <v>84</v>
      </c>
      <c r="O8" s="258" t="n">
        <v>500</v>
      </c>
    </row>
    <row r="9" customFormat="false" ht="15.75" hidden="false" customHeight="false" outlineLevel="0" collapsed="false">
      <c r="B9" s="251" t="s">
        <v>85</v>
      </c>
      <c r="C9" s="252" t="n">
        <v>0.3</v>
      </c>
      <c r="D9" s="253"/>
      <c r="E9" s="254" t="s">
        <v>52</v>
      </c>
      <c r="F9" s="255" t="n">
        <v>0.2</v>
      </c>
      <c r="H9" s="254" t="s">
        <v>52</v>
      </c>
      <c r="I9" s="255" t="n">
        <v>0.2</v>
      </c>
      <c r="K9" s="251" t="s">
        <v>86</v>
      </c>
      <c r="L9" s="258" t="n">
        <v>250</v>
      </c>
      <c r="N9" s="251" t="s">
        <v>87</v>
      </c>
      <c r="O9" s="258" t="n">
        <v>100</v>
      </c>
    </row>
    <row r="10" customFormat="false" ht="15.75" hidden="false" customHeight="false" outlineLevel="0" collapsed="false">
      <c r="B10" s="251" t="s">
        <v>88</v>
      </c>
      <c r="C10" s="252" t="n">
        <v>0.42</v>
      </c>
      <c r="D10" s="261"/>
      <c r="E10" s="254" t="s">
        <v>53</v>
      </c>
      <c r="F10" s="255" t="n">
        <v>0.22</v>
      </c>
      <c r="H10" s="254" t="s">
        <v>53</v>
      </c>
      <c r="I10" s="255" t="n">
        <v>0.22</v>
      </c>
      <c r="K10" s="262" t="s">
        <v>89</v>
      </c>
      <c r="L10" s="258" t="n">
        <v>250</v>
      </c>
      <c r="N10" s="262" t="s">
        <v>90</v>
      </c>
      <c r="O10" s="258" t="n">
        <v>300</v>
      </c>
    </row>
    <row r="11" customFormat="false" ht="15.75" hidden="false" customHeight="false" outlineLevel="0" collapsed="false">
      <c r="B11" s="251" t="s">
        <v>91</v>
      </c>
      <c r="C11" s="252" t="n">
        <v>0.55</v>
      </c>
      <c r="D11" s="261"/>
      <c r="E11" s="254" t="s">
        <v>54</v>
      </c>
      <c r="F11" s="255" t="n">
        <v>0.25</v>
      </c>
      <c r="H11" s="254" t="s">
        <v>54</v>
      </c>
      <c r="I11" s="255" t="n">
        <v>0.25</v>
      </c>
      <c r="K11" s="262" t="s">
        <v>92</v>
      </c>
      <c r="L11" s="258" t="n">
        <v>250</v>
      </c>
      <c r="N11" s="262" t="s">
        <v>93</v>
      </c>
      <c r="O11" s="258" t="n">
        <v>500</v>
      </c>
    </row>
    <row r="12" customFormat="false" ht="16.5" hidden="false" customHeight="false" outlineLevel="0" collapsed="false"/>
    <row r="13" customFormat="false" ht="21.75" hidden="false" customHeight="false" outlineLevel="0" collapsed="false">
      <c r="B13" s="245" t="s">
        <v>94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</row>
    <row r="15" customFormat="false" ht="15.75" hidden="false" customHeight="false" outlineLevel="0" collapsed="false">
      <c r="B15" s="246" t="s">
        <v>95</v>
      </c>
      <c r="C15" s="246" t="s">
        <v>96</v>
      </c>
      <c r="D15" s="246"/>
      <c r="E15" s="246"/>
      <c r="F15" s="246" t="s">
        <v>97</v>
      </c>
      <c r="G15" s="263" t="e">
        <f aca="true">IF(TODAY()&gt;lastDayCurrentMonth,1, IF(TODAY()&lt;firstDayCurrentMonth,0, DAY(TODAY())/CurrentMonthDays))</f>
        <v>#N/A</v>
      </c>
      <c r="H15" s="246" t="s">
        <v>98</v>
      </c>
      <c r="I15" s="264" t="n">
        <v>6500</v>
      </c>
      <c r="J15" s="247"/>
      <c r="M15" s="265"/>
      <c r="N15" s="266"/>
      <c r="O15" s="266"/>
    </row>
    <row r="16" customFormat="false" ht="15.75" hidden="false" customHeight="false" outlineLevel="0" collapsed="false">
      <c r="B16" s="267" t="s">
        <v>99</v>
      </c>
      <c r="C16" s="268" t="n">
        <v>31</v>
      </c>
      <c r="D16" s="268"/>
      <c r="E16" s="268"/>
      <c r="F16" s="269" t="n">
        <v>43101</v>
      </c>
      <c r="G16" s="263" t="e">
        <f aca="false">INDEX(C16:C63,MATCH(DATE(planYear,MATCH(current_month,B16:B63,0),1),F16:F63,0))</f>
        <v>#N/A</v>
      </c>
      <c r="H16" s="270" t="s">
        <v>100</v>
      </c>
      <c r="I16" s="270"/>
      <c r="J16" s="271"/>
      <c r="M16" s="265"/>
      <c r="N16" s="261"/>
      <c r="O16" s="261"/>
    </row>
    <row r="17" customFormat="false" ht="15.75" hidden="false" customHeight="false" outlineLevel="0" collapsed="false">
      <c r="B17" s="267" t="s">
        <v>101</v>
      </c>
      <c r="C17" s="268" t="n">
        <v>28</v>
      </c>
      <c r="D17" s="268"/>
      <c r="E17" s="268"/>
      <c r="F17" s="269" t="n">
        <v>43132</v>
      </c>
      <c r="G17" s="263" t="e">
        <f aca="false">INDEX(B65:B76,MATCH(current_month,B16:B27,0))</f>
        <v>#N/A</v>
      </c>
      <c r="H17" s="271"/>
      <c r="I17" s="271"/>
      <c r="J17" s="271"/>
      <c r="M17" s="265"/>
      <c r="N17" s="261"/>
      <c r="O17" s="261"/>
    </row>
    <row r="18" customFormat="false" ht="15.75" hidden="false" customHeight="false" outlineLevel="0" collapsed="false">
      <c r="B18" s="267" t="s">
        <v>102</v>
      </c>
      <c r="C18" s="268" t="n">
        <v>31</v>
      </c>
      <c r="D18" s="268"/>
      <c r="E18" s="268"/>
      <c r="F18" s="269" t="n">
        <v>43160</v>
      </c>
      <c r="G18" s="263" t="e">
        <f aca="false">DATE(planYear,MATCH(current_month,B16:B63,0),1)</f>
        <v>#N/A</v>
      </c>
      <c r="H18" s="246" t="s">
        <v>103</v>
      </c>
      <c r="I18" s="272" t="n">
        <v>2018</v>
      </c>
      <c r="J18" s="271"/>
      <c r="M18" s="265"/>
      <c r="N18" s="261"/>
      <c r="O18" s="261"/>
    </row>
    <row r="19" customFormat="false" ht="15.75" hidden="false" customHeight="false" outlineLevel="0" collapsed="false">
      <c r="B19" s="267" t="s">
        <v>104</v>
      </c>
      <c r="C19" s="268" t="n">
        <v>30</v>
      </c>
      <c r="D19" s="268"/>
      <c r="E19" s="268"/>
      <c r="F19" s="269" t="n">
        <v>43191</v>
      </c>
      <c r="G19" s="263" t="e">
        <f aca="false">EDATE(firstDayCurrentMonth,1)-1</f>
        <v>#N/A</v>
      </c>
      <c r="H19" s="271"/>
      <c r="I19" s="271"/>
      <c r="J19" s="271"/>
      <c r="M19" s="265"/>
      <c r="N19" s="273"/>
      <c r="O19" s="273"/>
    </row>
    <row r="20" customFormat="false" ht="15.75" hidden="false" customHeight="false" outlineLevel="0" collapsed="false">
      <c r="B20" s="267" t="s">
        <v>105</v>
      </c>
      <c r="C20" s="268" t="n">
        <v>31</v>
      </c>
      <c r="D20" s="268"/>
      <c r="E20" s="268"/>
      <c r="F20" s="269" t="n">
        <v>43221</v>
      </c>
      <c r="G20" s="274"/>
      <c r="H20" s="271"/>
      <c r="I20" s="271"/>
      <c r="J20" s="271"/>
      <c r="M20" s="265"/>
      <c r="N20" s="261"/>
      <c r="O20" s="261"/>
    </row>
    <row r="21" customFormat="false" ht="15.75" hidden="false" customHeight="false" outlineLevel="0" collapsed="false">
      <c r="B21" s="267" t="s">
        <v>106</v>
      </c>
      <c r="C21" s="268" t="n">
        <v>31</v>
      </c>
      <c r="D21" s="268"/>
      <c r="E21" s="268"/>
      <c r="F21" s="269" t="n">
        <v>43252</v>
      </c>
      <c r="G21" s="274"/>
      <c r="H21" s="271"/>
      <c r="I21" s="275"/>
      <c r="J21" s="271"/>
      <c r="M21" s="265"/>
      <c r="N21" s="261"/>
      <c r="O21" s="261"/>
    </row>
    <row r="22" customFormat="false" ht="15.75" hidden="false" customHeight="false" outlineLevel="0" collapsed="false">
      <c r="B22" s="267" t="s">
        <v>107</v>
      </c>
      <c r="C22" s="268" t="n">
        <v>30</v>
      </c>
      <c r="D22" s="268"/>
      <c r="E22" s="268"/>
      <c r="F22" s="276" t="n">
        <v>43282</v>
      </c>
      <c r="G22" s="277"/>
      <c r="H22" s="271"/>
      <c r="I22" s="271"/>
      <c r="J22" s="271"/>
      <c r="M22" s="265"/>
      <c r="N22" s="261"/>
      <c r="O22" s="261"/>
    </row>
    <row r="23" customFormat="false" ht="15.75" hidden="false" customHeight="false" outlineLevel="0" collapsed="false">
      <c r="B23" s="267" t="s">
        <v>108</v>
      </c>
      <c r="C23" s="268" t="n">
        <v>31</v>
      </c>
      <c r="D23" s="268"/>
      <c r="E23" s="268"/>
      <c r="F23" s="276" t="n">
        <v>43313</v>
      </c>
      <c r="G23" s="277"/>
      <c r="H23" s="271"/>
      <c r="I23" s="271"/>
      <c r="J23" s="271"/>
      <c r="M23" s="265"/>
      <c r="N23" s="265"/>
      <c r="O23" s="265"/>
    </row>
    <row r="24" customFormat="false" ht="15.75" hidden="false" customHeight="false" outlineLevel="0" collapsed="false">
      <c r="B24" s="267" t="s">
        <v>109</v>
      </c>
      <c r="C24" s="268" t="n">
        <v>30</v>
      </c>
      <c r="D24" s="268"/>
      <c r="E24" s="268"/>
      <c r="F24" s="276" t="n">
        <v>43344</v>
      </c>
      <c r="G24" s="277"/>
      <c r="H24" s="271"/>
      <c r="I24" s="271"/>
      <c r="J24" s="271"/>
      <c r="K24" s="275"/>
      <c r="L24" s="275"/>
      <c r="M24" s="265"/>
      <c r="N24" s="265"/>
      <c r="O24" s="265"/>
    </row>
    <row r="25" customFormat="false" ht="15.75" hidden="false" customHeight="false" outlineLevel="0" collapsed="false">
      <c r="B25" s="267" t="s">
        <v>110</v>
      </c>
      <c r="C25" s="268" t="n">
        <v>31</v>
      </c>
      <c r="D25" s="268"/>
      <c r="E25" s="268"/>
      <c r="F25" s="276" t="n">
        <v>43374</v>
      </c>
      <c r="G25" s="277"/>
      <c r="H25" s="271"/>
      <c r="I25" s="271"/>
      <c r="J25" s="271"/>
      <c r="K25" s="278"/>
      <c r="L25" s="278"/>
      <c r="M25" s="265"/>
      <c r="N25" s="265"/>
      <c r="O25" s="265"/>
    </row>
    <row r="26" customFormat="false" ht="15.75" hidden="false" customHeight="false" outlineLevel="0" collapsed="false">
      <c r="B26" s="267" t="s">
        <v>111</v>
      </c>
      <c r="C26" s="268" t="n">
        <v>30</v>
      </c>
      <c r="D26" s="268"/>
      <c r="E26" s="268"/>
      <c r="F26" s="276" t="n">
        <v>43405</v>
      </c>
      <c r="G26" s="277"/>
      <c r="H26" s="271"/>
      <c r="I26" s="271"/>
      <c r="J26" s="271"/>
      <c r="K26" s="275"/>
      <c r="L26" s="275"/>
      <c r="M26" s="265"/>
      <c r="N26" s="265"/>
      <c r="O26" s="265"/>
    </row>
    <row r="27" customFormat="false" ht="15.75" hidden="false" customHeight="false" outlineLevel="0" collapsed="false">
      <c r="B27" s="267" t="s">
        <v>112</v>
      </c>
      <c r="C27" s="268" t="n">
        <v>31</v>
      </c>
      <c r="D27" s="268"/>
      <c r="E27" s="268"/>
      <c r="F27" s="276" t="n">
        <v>43435</v>
      </c>
      <c r="G27" s="277"/>
      <c r="H27" s="271"/>
      <c r="I27" s="271"/>
      <c r="J27" s="271"/>
      <c r="K27" s="275"/>
      <c r="L27" s="275"/>
      <c r="M27" s="265"/>
      <c r="N27" s="265"/>
      <c r="O27" s="265"/>
    </row>
    <row r="28" customFormat="false" ht="15.75" hidden="false" customHeight="false" outlineLevel="0" collapsed="false">
      <c r="B28" s="267" t="s">
        <v>99</v>
      </c>
      <c r="C28" s="268" t="n">
        <v>31</v>
      </c>
      <c r="D28" s="268"/>
      <c r="E28" s="268"/>
      <c r="F28" s="269" t="n">
        <v>43466</v>
      </c>
      <c r="G28" s="277"/>
      <c r="H28" s="271"/>
      <c r="I28" s="271"/>
      <c r="J28" s="271"/>
      <c r="K28" s="275"/>
      <c r="L28" s="275"/>
      <c r="M28" s="265"/>
      <c r="N28" s="265"/>
      <c r="O28" s="265"/>
    </row>
    <row r="29" customFormat="false" ht="15.75" hidden="false" customHeight="false" outlineLevel="0" collapsed="false">
      <c r="B29" s="267" t="s">
        <v>101</v>
      </c>
      <c r="C29" s="268" t="n">
        <v>28</v>
      </c>
      <c r="D29" s="268"/>
      <c r="E29" s="268"/>
      <c r="F29" s="269" t="n">
        <v>43497</v>
      </c>
      <c r="G29" s="277"/>
      <c r="H29" s="271"/>
      <c r="I29" s="271"/>
      <c r="J29" s="271"/>
      <c r="K29" s="275"/>
      <c r="L29" s="275"/>
      <c r="M29" s="265"/>
      <c r="N29" s="265"/>
      <c r="O29" s="265"/>
    </row>
    <row r="30" customFormat="false" ht="15.75" hidden="false" customHeight="false" outlineLevel="0" collapsed="false">
      <c r="B30" s="267" t="s">
        <v>102</v>
      </c>
      <c r="C30" s="268" t="n">
        <v>31</v>
      </c>
      <c r="D30" s="268"/>
      <c r="E30" s="268"/>
      <c r="F30" s="269" t="n">
        <v>43525</v>
      </c>
      <c r="G30" s="277"/>
      <c r="H30" s="271"/>
      <c r="I30" s="271"/>
      <c r="J30" s="271"/>
      <c r="K30" s="275"/>
      <c r="L30" s="275"/>
      <c r="M30" s="265"/>
      <c r="N30" s="265"/>
      <c r="O30" s="265"/>
    </row>
    <row r="31" customFormat="false" ht="15.75" hidden="false" customHeight="false" outlineLevel="0" collapsed="false">
      <c r="B31" s="267" t="s">
        <v>104</v>
      </c>
      <c r="C31" s="268" t="n">
        <v>30</v>
      </c>
      <c r="D31" s="268"/>
      <c r="E31" s="268"/>
      <c r="F31" s="269" t="n">
        <v>43556</v>
      </c>
      <c r="G31" s="277"/>
      <c r="H31" s="271"/>
      <c r="I31" s="271"/>
      <c r="J31" s="271"/>
      <c r="K31" s="275"/>
      <c r="L31" s="275"/>
      <c r="M31" s="265"/>
      <c r="N31" s="265"/>
      <c r="O31" s="265"/>
    </row>
    <row r="32" customFormat="false" ht="15.75" hidden="false" customHeight="false" outlineLevel="0" collapsed="false">
      <c r="B32" s="267" t="s">
        <v>105</v>
      </c>
      <c r="C32" s="268" t="n">
        <v>31</v>
      </c>
      <c r="D32" s="268"/>
      <c r="E32" s="268"/>
      <c r="F32" s="269" t="n">
        <v>43586</v>
      </c>
      <c r="G32" s="277"/>
      <c r="H32" s="271"/>
      <c r="I32" s="271"/>
      <c r="J32" s="271"/>
      <c r="K32" s="275"/>
      <c r="L32" s="275"/>
      <c r="M32" s="265"/>
      <c r="N32" s="265"/>
      <c r="O32" s="265"/>
    </row>
    <row r="33" customFormat="false" ht="15.75" hidden="false" customHeight="false" outlineLevel="0" collapsed="false">
      <c r="B33" s="267" t="s">
        <v>106</v>
      </c>
      <c r="C33" s="268" t="n">
        <v>31</v>
      </c>
      <c r="D33" s="268"/>
      <c r="E33" s="268"/>
      <c r="F33" s="269" t="n">
        <v>43617</v>
      </c>
      <c r="G33" s="277"/>
      <c r="H33" s="271"/>
      <c r="I33" s="271"/>
      <c r="J33" s="271"/>
      <c r="K33" s="275"/>
      <c r="L33" s="275"/>
      <c r="M33" s="265"/>
      <c r="N33" s="265"/>
      <c r="O33" s="265"/>
    </row>
    <row r="34" customFormat="false" ht="15.75" hidden="false" customHeight="false" outlineLevel="0" collapsed="false">
      <c r="B34" s="267" t="s">
        <v>107</v>
      </c>
      <c r="C34" s="268" t="n">
        <v>30</v>
      </c>
      <c r="D34" s="268"/>
      <c r="E34" s="268"/>
      <c r="F34" s="269" t="n">
        <v>43647</v>
      </c>
      <c r="G34" s="277"/>
      <c r="H34" s="271"/>
      <c r="I34" s="271"/>
      <c r="J34" s="271"/>
      <c r="K34" s="275"/>
      <c r="L34" s="275"/>
      <c r="M34" s="265"/>
      <c r="N34" s="265"/>
      <c r="O34" s="265"/>
    </row>
    <row r="35" customFormat="false" ht="15.75" hidden="false" customHeight="false" outlineLevel="0" collapsed="false">
      <c r="B35" s="267" t="s">
        <v>108</v>
      </c>
      <c r="C35" s="268" t="n">
        <v>31</v>
      </c>
      <c r="D35" s="268"/>
      <c r="E35" s="268"/>
      <c r="F35" s="269" t="n">
        <v>43678</v>
      </c>
      <c r="G35" s="277"/>
      <c r="H35" s="271"/>
      <c r="I35" s="271"/>
      <c r="J35" s="271"/>
      <c r="K35" s="275"/>
      <c r="L35" s="275"/>
      <c r="M35" s="265"/>
      <c r="N35" s="265"/>
      <c r="O35" s="265"/>
    </row>
    <row r="36" customFormat="false" ht="15.75" hidden="false" customHeight="false" outlineLevel="0" collapsed="false">
      <c r="B36" s="267" t="s">
        <v>109</v>
      </c>
      <c r="C36" s="268" t="n">
        <v>30</v>
      </c>
      <c r="D36" s="268"/>
      <c r="E36" s="268"/>
      <c r="F36" s="269" t="n">
        <v>43709</v>
      </c>
      <c r="G36" s="277"/>
      <c r="H36" s="271"/>
      <c r="I36" s="271"/>
      <c r="J36" s="271"/>
      <c r="K36" s="275"/>
      <c r="L36" s="275"/>
      <c r="M36" s="265"/>
      <c r="N36" s="265"/>
      <c r="O36" s="265"/>
    </row>
    <row r="37" customFormat="false" ht="15.75" hidden="false" customHeight="false" outlineLevel="0" collapsed="false">
      <c r="B37" s="267" t="s">
        <v>110</v>
      </c>
      <c r="C37" s="268" t="n">
        <v>31</v>
      </c>
      <c r="D37" s="268"/>
      <c r="E37" s="268"/>
      <c r="F37" s="269" t="n">
        <v>43739</v>
      </c>
      <c r="G37" s="277"/>
      <c r="H37" s="271"/>
      <c r="I37" s="271"/>
      <c r="J37" s="271"/>
      <c r="K37" s="275"/>
      <c r="L37" s="275"/>
      <c r="M37" s="265"/>
      <c r="N37" s="265"/>
      <c r="O37" s="265"/>
    </row>
    <row r="38" customFormat="false" ht="15.75" hidden="false" customHeight="false" outlineLevel="0" collapsed="false">
      <c r="B38" s="267" t="s">
        <v>111</v>
      </c>
      <c r="C38" s="268" t="n">
        <v>30</v>
      </c>
      <c r="D38" s="268"/>
      <c r="E38" s="268"/>
      <c r="F38" s="269" t="n">
        <v>43770</v>
      </c>
      <c r="G38" s="277"/>
      <c r="H38" s="271"/>
      <c r="I38" s="271"/>
      <c r="J38" s="271"/>
      <c r="K38" s="275"/>
      <c r="L38" s="275"/>
      <c r="M38" s="265"/>
      <c r="N38" s="265"/>
      <c r="O38" s="265"/>
    </row>
    <row r="39" customFormat="false" ht="15.75" hidden="false" customHeight="false" outlineLevel="0" collapsed="false">
      <c r="B39" s="267" t="s">
        <v>112</v>
      </c>
      <c r="C39" s="268" t="n">
        <v>31</v>
      </c>
      <c r="D39" s="268"/>
      <c r="E39" s="268"/>
      <c r="F39" s="269" t="n">
        <v>43800</v>
      </c>
      <c r="G39" s="277"/>
      <c r="H39" s="271"/>
      <c r="I39" s="271"/>
      <c r="J39" s="271"/>
      <c r="K39" s="275"/>
      <c r="L39" s="275"/>
      <c r="M39" s="265"/>
      <c r="N39" s="265"/>
      <c r="O39" s="265"/>
    </row>
    <row r="40" customFormat="false" ht="15.75" hidden="false" customHeight="false" outlineLevel="0" collapsed="false">
      <c r="B40" s="267" t="s">
        <v>99</v>
      </c>
      <c r="C40" s="268" t="n">
        <v>31</v>
      </c>
      <c r="D40" s="268"/>
      <c r="E40" s="268"/>
      <c r="F40" s="269" t="n">
        <v>43831</v>
      </c>
      <c r="G40" s="277"/>
      <c r="H40" s="271"/>
      <c r="I40" s="271"/>
      <c r="J40" s="271"/>
      <c r="K40" s="275"/>
      <c r="L40" s="275"/>
      <c r="M40" s="265"/>
      <c r="N40" s="265"/>
      <c r="O40" s="265"/>
    </row>
    <row r="41" customFormat="false" ht="15.75" hidden="false" customHeight="false" outlineLevel="0" collapsed="false">
      <c r="B41" s="267" t="s">
        <v>101</v>
      </c>
      <c r="C41" s="268" t="n">
        <v>29</v>
      </c>
      <c r="D41" s="268"/>
      <c r="E41" s="268"/>
      <c r="F41" s="269" t="n">
        <v>43862</v>
      </c>
      <c r="G41" s="277"/>
      <c r="H41" s="271"/>
      <c r="I41" s="271"/>
      <c r="J41" s="271"/>
      <c r="K41" s="275"/>
      <c r="L41" s="275"/>
      <c r="M41" s="265"/>
      <c r="N41" s="265"/>
      <c r="O41" s="265"/>
    </row>
    <row r="42" customFormat="false" ht="15.75" hidden="false" customHeight="false" outlineLevel="0" collapsed="false">
      <c r="B42" s="267" t="s">
        <v>102</v>
      </c>
      <c r="C42" s="268" t="n">
        <v>31</v>
      </c>
      <c r="D42" s="268"/>
      <c r="E42" s="268"/>
      <c r="F42" s="269" t="n">
        <v>43891</v>
      </c>
      <c r="G42" s="277"/>
      <c r="H42" s="271"/>
      <c r="I42" s="271"/>
      <c r="J42" s="271"/>
      <c r="K42" s="275"/>
      <c r="L42" s="275"/>
      <c r="M42" s="265"/>
      <c r="N42" s="265"/>
      <c r="O42" s="265"/>
    </row>
    <row r="43" customFormat="false" ht="15.75" hidden="false" customHeight="false" outlineLevel="0" collapsed="false">
      <c r="B43" s="267" t="s">
        <v>104</v>
      </c>
      <c r="C43" s="268" t="n">
        <v>30</v>
      </c>
      <c r="D43" s="268"/>
      <c r="E43" s="268"/>
      <c r="F43" s="269" t="n">
        <v>43922</v>
      </c>
      <c r="G43" s="277"/>
      <c r="H43" s="271"/>
      <c r="I43" s="271"/>
      <c r="J43" s="271"/>
      <c r="K43" s="275"/>
      <c r="L43" s="275"/>
      <c r="M43" s="265"/>
      <c r="N43" s="265"/>
      <c r="O43" s="265"/>
    </row>
    <row r="44" customFormat="false" ht="15.75" hidden="false" customHeight="false" outlineLevel="0" collapsed="false">
      <c r="B44" s="267" t="s">
        <v>105</v>
      </c>
      <c r="C44" s="268" t="n">
        <v>31</v>
      </c>
      <c r="D44" s="268"/>
      <c r="E44" s="268"/>
      <c r="F44" s="269" t="n">
        <v>43952</v>
      </c>
      <c r="G44" s="277"/>
      <c r="H44" s="271"/>
      <c r="I44" s="271"/>
      <c r="J44" s="271"/>
      <c r="K44" s="275"/>
      <c r="L44" s="275"/>
      <c r="M44" s="265"/>
      <c r="N44" s="265"/>
      <c r="O44" s="265"/>
    </row>
    <row r="45" customFormat="false" ht="15.75" hidden="false" customHeight="false" outlineLevel="0" collapsed="false">
      <c r="B45" s="267" t="s">
        <v>106</v>
      </c>
      <c r="C45" s="268" t="n">
        <v>31</v>
      </c>
      <c r="D45" s="268"/>
      <c r="E45" s="268"/>
      <c r="F45" s="269" t="n">
        <v>43983</v>
      </c>
      <c r="G45" s="277"/>
      <c r="H45" s="261"/>
      <c r="I45" s="261"/>
      <c r="J45" s="261"/>
    </row>
    <row r="46" customFormat="false" ht="15.75" hidden="false" customHeight="false" outlineLevel="0" collapsed="false">
      <c r="B46" s="267" t="s">
        <v>107</v>
      </c>
      <c r="C46" s="268" t="n">
        <v>30</v>
      </c>
      <c r="D46" s="268"/>
      <c r="E46" s="268"/>
      <c r="F46" s="269" t="n">
        <v>44013</v>
      </c>
      <c r="G46" s="277"/>
    </row>
    <row r="47" customFormat="false" ht="15.75" hidden="false" customHeight="false" outlineLevel="0" collapsed="false">
      <c r="B47" s="267" t="s">
        <v>108</v>
      </c>
      <c r="C47" s="268" t="n">
        <v>31</v>
      </c>
      <c r="D47" s="268"/>
      <c r="E47" s="268"/>
      <c r="F47" s="269" t="n">
        <v>44044</v>
      </c>
      <c r="G47" s="277"/>
    </row>
    <row r="48" customFormat="false" ht="15.75" hidden="false" customHeight="false" outlineLevel="0" collapsed="false">
      <c r="B48" s="267" t="s">
        <v>109</v>
      </c>
      <c r="C48" s="268" t="n">
        <v>30</v>
      </c>
      <c r="D48" s="268"/>
      <c r="E48" s="268"/>
      <c r="F48" s="269" t="n">
        <v>44075</v>
      </c>
      <c r="G48" s="277"/>
    </row>
    <row r="49" customFormat="false" ht="15.75" hidden="false" customHeight="false" outlineLevel="0" collapsed="false">
      <c r="B49" s="267" t="s">
        <v>110</v>
      </c>
      <c r="C49" s="268" t="n">
        <v>31</v>
      </c>
      <c r="D49" s="268"/>
      <c r="E49" s="268"/>
      <c r="F49" s="269" t="n">
        <v>44105</v>
      </c>
      <c r="G49" s="277"/>
    </row>
    <row r="50" customFormat="false" ht="15.75" hidden="false" customHeight="false" outlineLevel="0" collapsed="false">
      <c r="B50" s="267" t="s">
        <v>111</v>
      </c>
      <c r="C50" s="268" t="n">
        <v>30</v>
      </c>
      <c r="D50" s="268"/>
      <c r="E50" s="268"/>
      <c r="F50" s="269" t="n">
        <v>44136</v>
      </c>
      <c r="G50" s="277"/>
    </row>
    <row r="51" customFormat="false" ht="15.75" hidden="false" customHeight="false" outlineLevel="0" collapsed="false">
      <c r="B51" s="267" t="s">
        <v>112</v>
      </c>
      <c r="C51" s="268" t="n">
        <v>31</v>
      </c>
      <c r="D51" s="268"/>
      <c r="E51" s="268"/>
      <c r="F51" s="269" t="n">
        <v>44166</v>
      </c>
      <c r="G51" s="277"/>
    </row>
    <row r="52" customFormat="false" ht="15.75" hidden="false" customHeight="false" outlineLevel="0" collapsed="false">
      <c r="B52" s="267" t="s">
        <v>99</v>
      </c>
      <c r="C52" s="268" t="n">
        <v>31</v>
      </c>
      <c r="D52" s="268"/>
      <c r="E52" s="268"/>
      <c r="F52" s="269" t="n">
        <v>44197</v>
      </c>
      <c r="G52" s="277"/>
    </row>
    <row r="53" customFormat="false" ht="15.75" hidden="false" customHeight="false" outlineLevel="0" collapsed="false">
      <c r="B53" s="267" t="s">
        <v>101</v>
      </c>
      <c r="C53" s="268" t="n">
        <v>28</v>
      </c>
      <c r="D53" s="268"/>
      <c r="E53" s="268"/>
      <c r="F53" s="269" t="n">
        <v>44228</v>
      </c>
      <c r="G53" s="277"/>
    </row>
    <row r="54" customFormat="false" ht="15.75" hidden="false" customHeight="false" outlineLevel="0" collapsed="false">
      <c r="B54" s="267" t="s">
        <v>102</v>
      </c>
      <c r="C54" s="268" t="n">
        <v>31</v>
      </c>
      <c r="D54" s="268"/>
      <c r="E54" s="268"/>
      <c r="F54" s="269" t="n">
        <v>44256</v>
      </c>
      <c r="G54" s="277"/>
    </row>
    <row r="55" customFormat="false" ht="15.75" hidden="false" customHeight="false" outlineLevel="0" collapsed="false">
      <c r="B55" s="267" t="s">
        <v>104</v>
      </c>
      <c r="C55" s="268" t="n">
        <v>30</v>
      </c>
      <c r="D55" s="268"/>
      <c r="E55" s="268"/>
      <c r="F55" s="269" t="n">
        <v>44287</v>
      </c>
      <c r="G55" s="277"/>
    </row>
    <row r="56" customFormat="false" ht="15.75" hidden="false" customHeight="false" outlineLevel="0" collapsed="false">
      <c r="B56" s="267" t="s">
        <v>105</v>
      </c>
      <c r="C56" s="268" t="n">
        <v>31</v>
      </c>
      <c r="D56" s="268"/>
      <c r="E56" s="268"/>
      <c r="F56" s="269" t="n">
        <v>44317</v>
      </c>
      <c r="G56" s="277"/>
    </row>
    <row r="57" customFormat="false" ht="15.75" hidden="false" customHeight="false" outlineLevel="0" collapsed="false">
      <c r="B57" s="267" t="s">
        <v>106</v>
      </c>
      <c r="C57" s="268" t="n">
        <v>31</v>
      </c>
      <c r="D57" s="268"/>
      <c r="E57" s="268"/>
      <c r="F57" s="269" t="n">
        <v>44348</v>
      </c>
      <c r="G57" s="277"/>
    </row>
    <row r="58" customFormat="false" ht="15.75" hidden="false" customHeight="false" outlineLevel="0" collapsed="false">
      <c r="B58" s="267" t="s">
        <v>107</v>
      </c>
      <c r="C58" s="268" t="n">
        <v>30</v>
      </c>
      <c r="D58" s="268"/>
      <c r="E58" s="268"/>
      <c r="F58" s="269" t="n">
        <v>44378</v>
      </c>
      <c r="G58" s="277"/>
    </row>
    <row r="59" customFormat="false" ht="15.75" hidden="false" customHeight="false" outlineLevel="0" collapsed="false">
      <c r="B59" s="267" t="s">
        <v>108</v>
      </c>
      <c r="C59" s="268" t="n">
        <v>31</v>
      </c>
      <c r="D59" s="268"/>
      <c r="E59" s="268"/>
      <c r="F59" s="269" t="n">
        <v>44409</v>
      </c>
      <c r="G59" s="277"/>
    </row>
    <row r="60" customFormat="false" ht="15.75" hidden="false" customHeight="false" outlineLevel="0" collapsed="false">
      <c r="B60" s="267" t="s">
        <v>109</v>
      </c>
      <c r="C60" s="268" t="n">
        <v>30</v>
      </c>
      <c r="D60" s="268"/>
      <c r="E60" s="268"/>
      <c r="F60" s="269" t="n">
        <v>44440</v>
      </c>
      <c r="G60" s="277"/>
    </row>
    <row r="61" customFormat="false" ht="15.75" hidden="false" customHeight="false" outlineLevel="0" collapsed="false">
      <c r="B61" s="267" t="s">
        <v>110</v>
      </c>
      <c r="C61" s="268" t="n">
        <v>31</v>
      </c>
      <c r="D61" s="268"/>
      <c r="E61" s="268"/>
      <c r="F61" s="269" t="n">
        <v>44470</v>
      </c>
      <c r="G61" s="277"/>
    </row>
    <row r="62" customFormat="false" ht="15.75" hidden="false" customHeight="false" outlineLevel="0" collapsed="false">
      <c r="B62" s="267" t="s">
        <v>111</v>
      </c>
      <c r="C62" s="268" t="n">
        <v>30</v>
      </c>
      <c r="D62" s="268"/>
      <c r="E62" s="268"/>
      <c r="F62" s="269" t="n">
        <v>44501</v>
      </c>
      <c r="G62" s="277"/>
    </row>
    <row r="63" customFormat="false" ht="15.75" hidden="false" customHeight="false" outlineLevel="0" collapsed="false">
      <c r="B63" s="267" t="s">
        <v>112</v>
      </c>
      <c r="C63" s="268" t="n">
        <v>31</v>
      </c>
      <c r="D63" s="268"/>
      <c r="E63" s="268"/>
      <c r="F63" s="269" t="n">
        <v>44531</v>
      </c>
      <c r="G63" s="277"/>
    </row>
    <row r="65" customFormat="false" ht="15.75" hidden="false" customHeight="false" outlineLevel="0" collapsed="false">
      <c r="B65" s="267" t="s">
        <v>113</v>
      </c>
    </row>
    <row r="66" customFormat="false" ht="15.75" hidden="false" customHeight="false" outlineLevel="0" collapsed="false">
      <c r="B66" s="267" t="s">
        <v>114</v>
      </c>
    </row>
    <row r="67" customFormat="false" ht="15.75" hidden="false" customHeight="false" outlineLevel="0" collapsed="false">
      <c r="B67" s="267" t="s">
        <v>115</v>
      </c>
    </row>
    <row r="68" customFormat="false" ht="15.75" hidden="false" customHeight="false" outlineLevel="0" collapsed="false">
      <c r="B68" s="267" t="s">
        <v>116</v>
      </c>
    </row>
    <row r="69" customFormat="false" ht="15.75" hidden="false" customHeight="false" outlineLevel="0" collapsed="false">
      <c r="B69" s="267" t="s">
        <v>117</v>
      </c>
    </row>
    <row r="70" customFormat="false" ht="15.75" hidden="false" customHeight="false" outlineLevel="0" collapsed="false">
      <c r="B70" s="267" t="s">
        <v>118</v>
      </c>
    </row>
    <row r="71" customFormat="false" ht="15.75" hidden="false" customHeight="false" outlineLevel="0" collapsed="false">
      <c r="B71" s="267" t="s">
        <v>119</v>
      </c>
    </row>
    <row r="72" customFormat="false" ht="15.75" hidden="false" customHeight="false" outlineLevel="0" collapsed="false">
      <c r="B72" s="267" t="s">
        <v>120</v>
      </c>
    </row>
    <row r="73" customFormat="false" ht="15.75" hidden="false" customHeight="false" outlineLevel="0" collapsed="false">
      <c r="B73" s="267" t="s">
        <v>121</v>
      </c>
    </row>
    <row r="74" customFormat="false" ht="15.75" hidden="false" customHeight="false" outlineLevel="0" collapsed="false">
      <c r="B74" s="267" t="s">
        <v>122</v>
      </c>
    </row>
    <row r="75" customFormat="false" ht="15.75" hidden="false" customHeight="false" outlineLevel="0" collapsed="false">
      <c r="B75" s="267" t="s">
        <v>123</v>
      </c>
    </row>
    <row r="76" customFormat="false" ht="15.75" hidden="false" customHeight="false" outlineLevel="0" collapsed="false">
      <c r="B76" s="267" t="s">
        <v>124</v>
      </c>
    </row>
  </sheetData>
  <mergeCells count="56">
    <mergeCell ref="B2:O2"/>
    <mergeCell ref="B13:O13"/>
    <mergeCell ref="C15:E15"/>
    <mergeCell ref="C16:E16"/>
    <mergeCell ref="H16:I16"/>
    <mergeCell ref="C17:E17"/>
    <mergeCell ref="C18:E18"/>
    <mergeCell ref="C19:E19"/>
    <mergeCell ref="C20:E20"/>
    <mergeCell ref="C21:E21"/>
    <mergeCell ref="C22:E22"/>
    <mergeCell ref="C23:E23"/>
    <mergeCell ref="C24:E24"/>
    <mergeCell ref="K24:L24"/>
    <mergeCell ref="C25:E25"/>
    <mergeCell ref="K25:L25"/>
    <mergeCell ref="C26:E26"/>
    <mergeCell ref="K26:L26"/>
    <mergeCell ref="C27:E27"/>
    <mergeCell ref="K27:L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4" activeCellId="0" sqref="D24"/>
    </sheetView>
  </sheetViews>
  <sheetFormatPr defaultRowHeight="15.75" zeroHeight="false" outlineLevelRow="0" outlineLevelCol="0"/>
  <cols>
    <col collapsed="false" customWidth="true" hidden="false" outlineLevel="0" max="1" min="1" style="0" width="10.5"/>
    <col collapsed="false" customWidth="true" hidden="false" outlineLevel="0" max="2" min="2" style="0" width="28.87"/>
    <col collapsed="false" customWidth="true" hidden="false" outlineLevel="0" max="34" min="3" style="0" width="9"/>
    <col collapsed="false" customWidth="true" hidden="false" outlineLevel="0" max="1025" min="35" style="0" width="8.88"/>
  </cols>
  <sheetData>
    <row r="1" customFormat="false" ht="15.75" hidden="false" customHeight="false" outlineLevel="0" collapsed="false">
      <c r="A1" s="0" t="s">
        <v>125</v>
      </c>
    </row>
    <row r="2" customFormat="false" ht="15.75" hidden="false" customHeight="false" outlineLevel="0" collapsed="false">
      <c r="A2" s="0" t="s">
        <v>126</v>
      </c>
      <c r="B2" s="279" t="n">
        <v>0.25</v>
      </c>
    </row>
    <row r="3" customFormat="false" ht="15.75" hidden="false" customHeight="false" outlineLevel="0" collapsed="false">
      <c r="B3" s="280"/>
    </row>
    <row r="4" customFormat="false" ht="18.75" hidden="false" customHeight="true" outlineLevel="0" collapsed="false">
      <c r="A4" s="281" t="s">
        <v>1</v>
      </c>
      <c r="B4" s="282" t="n">
        <f aca="false">Факт_туры</f>
        <v>0</v>
      </c>
      <c r="D4" s="281" t="s">
        <v>1</v>
      </c>
      <c r="E4" s="282" t="n">
        <f aca="false">Факт_туры</f>
        <v>0</v>
      </c>
      <c r="G4" s="281" t="s">
        <v>1</v>
      </c>
      <c r="H4" s="282" t="n">
        <f aca="false">Факт_допы</f>
        <v>0</v>
      </c>
    </row>
    <row r="5" customFormat="false" ht="18.75" hidden="false" customHeight="true" outlineLevel="0" collapsed="false">
      <c r="A5" s="281" t="s">
        <v>26</v>
      </c>
      <c r="B5" s="282" t="n">
        <f aca="false">IF(Факт_туры&gt;ПланТуры,0,ПланТуры-Факт_туры)</f>
        <v>0</v>
      </c>
      <c r="D5" s="281" t="s">
        <v>26</v>
      </c>
      <c r="E5" s="282" t="n">
        <f aca="false">IF(Факт_туры&gt;IFERROR(ПланТуры*НарастающийИтогДоля,0),0,IFERROR(ПланТуры*НарастающийИтогДоля,0)-Факт_туры)</f>
        <v>0</v>
      </c>
      <c r="G5" s="281" t="s">
        <v>26</v>
      </c>
      <c r="H5" s="282" t="n">
        <f aca="false">IF(Факт_допы&gt;ПланДопы,0,ПланДопы-Факт_допы)</f>
        <v>0</v>
      </c>
    </row>
    <row r="6" customFormat="false" ht="15.75" hidden="false" customHeight="false" outlineLevel="0" collapsed="false">
      <c r="A6" s="281" t="s">
        <v>126</v>
      </c>
      <c r="B6" s="282" t="n">
        <f aca="false">IF(Факт_туры&gt;ПланТуры*(1+B2),0,ПланТуры*(1+B2)-ПланТуры)</f>
        <v>0</v>
      </c>
      <c r="D6" s="281" t="s">
        <v>126</v>
      </c>
      <c r="E6" s="282" t="n">
        <f aca="false">IF(Факт_туры&gt;IFERROR(ПланТуры*НарастающийИтогДоля,0)*(1+B2),0,IFERROR(ПланТуры*НарастающийИтогДоля,0)*(1+B2)-IFERROR(ПланТуры*НарастающийИтогДоля,0))</f>
        <v>0</v>
      </c>
      <c r="G6" s="281" t="s">
        <v>126</v>
      </c>
      <c r="H6" s="282" t="n">
        <f aca="false">IF(Факт_допы&gt;ПланДопы*(1+B2),0,ПланДопы*(1+B2)-ПланДопы)</f>
        <v>0</v>
      </c>
    </row>
    <row r="8" customFormat="false" ht="15.75" hidden="false" customHeight="false" outlineLevel="0" collapsed="false">
      <c r="A8" s="281" t="s">
        <v>127</v>
      </c>
      <c r="B8" s="0" t="n">
        <f aca="true">SUMIF(INDIRECT("Фактеризация!$C$1:$C$999"),"Прибыль по турам",INDIRECT("Фактеризация!$AI$1:$AI$999"))</f>
        <v>0</v>
      </c>
    </row>
    <row r="9" customFormat="false" ht="15.75" hidden="false" customHeight="false" outlineLevel="0" collapsed="false">
      <c r="A9" s="281" t="s">
        <v>128</v>
      </c>
      <c r="B9" s="0" t="n">
        <f aca="true">SUMIF(INDIRECT("Фактеризация!$C$1:$C$999"),"Прибыль по допам",INDIRECT("Фактеризация!$AI$1:$AI$999"))</f>
        <v>0</v>
      </c>
    </row>
    <row r="10" customFormat="false" ht="16.5" hidden="false" customHeight="false" outlineLevel="0" collapsed="false">
      <c r="A10" s="0" t="s">
        <v>129</v>
      </c>
    </row>
    <row r="11" customFormat="false" ht="16.5" hidden="false" customHeight="false" outlineLevel="0" collapsed="false">
      <c r="A11" s="127"/>
      <c r="B11" s="127"/>
      <c r="C11" s="127" t="n">
        <v>1</v>
      </c>
      <c r="D11" s="128" t="n">
        <v>2</v>
      </c>
      <c r="E11" s="128" t="n">
        <v>3</v>
      </c>
      <c r="F11" s="128" t="n">
        <v>4</v>
      </c>
      <c r="G11" s="128" t="n">
        <v>5</v>
      </c>
      <c r="H11" s="128" t="n">
        <v>6</v>
      </c>
      <c r="I11" s="128" t="n">
        <v>7</v>
      </c>
      <c r="J11" s="128" t="n">
        <v>8</v>
      </c>
      <c r="K11" s="128" t="n">
        <v>9</v>
      </c>
      <c r="L11" s="128" t="n">
        <v>10</v>
      </c>
      <c r="M11" s="128" t="n">
        <v>11</v>
      </c>
      <c r="N11" s="128" t="n">
        <v>12</v>
      </c>
      <c r="O11" s="128" t="n">
        <v>13</v>
      </c>
      <c r="P11" s="128" t="n">
        <v>14</v>
      </c>
      <c r="Q11" s="128" t="n">
        <v>15</v>
      </c>
      <c r="R11" s="128" t="n">
        <v>16</v>
      </c>
      <c r="S11" s="128" t="n">
        <v>17</v>
      </c>
      <c r="T11" s="128" t="n">
        <v>18</v>
      </c>
      <c r="U11" s="128" t="n">
        <v>19</v>
      </c>
      <c r="V11" s="128" t="n">
        <v>20</v>
      </c>
      <c r="W11" s="128" t="n">
        <v>21</v>
      </c>
      <c r="X11" s="128" t="n">
        <v>22</v>
      </c>
      <c r="Y11" s="128" t="n">
        <v>23</v>
      </c>
      <c r="Z11" s="128" t="n">
        <v>24</v>
      </c>
      <c r="AA11" s="128" t="n">
        <v>25</v>
      </c>
      <c r="AB11" s="128" t="n">
        <v>26</v>
      </c>
      <c r="AC11" s="128" t="n">
        <v>27</v>
      </c>
      <c r="AD11" s="128" t="n">
        <v>28</v>
      </c>
      <c r="AE11" s="128" t="n">
        <v>29</v>
      </c>
      <c r="AF11" s="128" t="n">
        <v>30</v>
      </c>
      <c r="AG11" s="128" t="n">
        <v>31</v>
      </c>
      <c r="AH11" s="129" t="s">
        <v>39</v>
      </c>
    </row>
    <row r="12" customFormat="false" ht="16.5" hidden="false" customHeight="false" outlineLevel="0" collapsed="false">
      <c r="A12" s="283"/>
      <c r="B12" s="284"/>
      <c r="C12" s="285" t="n">
        <v>1</v>
      </c>
      <c r="D12" s="285" t="n">
        <v>1</v>
      </c>
      <c r="E12" s="285" t="n">
        <v>1</v>
      </c>
      <c r="F12" s="285" t="n">
        <v>1</v>
      </c>
      <c r="G12" s="285" t="n">
        <v>1</v>
      </c>
      <c r="H12" s="285" t="n">
        <v>1</v>
      </c>
      <c r="I12" s="285" t="n">
        <v>1</v>
      </c>
      <c r="J12" s="285" t="n">
        <v>1</v>
      </c>
      <c r="K12" s="285" t="n">
        <v>1</v>
      </c>
      <c r="L12" s="285" t="n">
        <v>1</v>
      </c>
      <c r="M12" s="285" t="n">
        <v>1</v>
      </c>
      <c r="N12" s="285" t="n">
        <v>1</v>
      </c>
      <c r="O12" s="285" t="n">
        <v>1</v>
      </c>
      <c r="P12" s="285" t="n">
        <v>1</v>
      </c>
      <c r="Q12" s="285" t="n">
        <v>1</v>
      </c>
      <c r="R12" s="285" t="n">
        <v>1</v>
      </c>
      <c r="S12" s="285" t="n">
        <v>1</v>
      </c>
      <c r="T12" s="285" t="n">
        <v>1</v>
      </c>
      <c r="U12" s="285" t="n">
        <v>1</v>
      </c>
      <c r="V12" s="285" t="n">
        <v>1</v>
      </c>
      <c r="W12" s="285" t="n">
        <v>1</v>
      </c>
      <c r="X12" s="285" t="n">
        <v>1</v>
      </c>
      <c r="Y12" s="285" t="n">
        <v>1</v>
      </c>
      <c r="Z12" s="285" t="n">
        <v>1</v>
      </c>
      <c r="AA12" s="285" t="n">
        <v>1</v>
      </c>
      <c r="AB12" s="285" t="n">
        <v>1</v>
      </c>
      <c r="AC12" s="285" t="n">
        <v>1</v>
      </c>
      <c r="AD12" s="285" t="n">
        <v>1</v>
      </c>
      <c r="AE12" s="285" t="e">
        <f aca="false">IF(INDEX(Настройки!$C$16:$C$27,MATCH(current_month,Настройки!$B$16:$B$27,0))&gt;=AE11,1,0)</f>
        <v>#N/A</v>
      </c>
      <c r="AF12" s="285" t="e">
        <f aca="false">IF(INDEX(Настройки!$C$16:$C$27,MATCH(current_month,Настройки!$B$16:$B$27,0))&gt;=AF11,1,0)</f>
        <v>#N/A</v>
      </c>
      <c r="AG12" s="285" t="e">
        <f aca="false">IF(INDEX(Настройки!$C$16:$C$27,MATCH(current_month,Настройки!$B$16:$B$27,0))&gt;=AG11,1,0)</f>
        <v>#N/A</v>
      </c>
    </row>
    <row r="13" customFormat="false" ht="24.95" hidden="false" customHeight="true" outlineLevel="0" collapsed="false">
      <c r="A13" s="286" t="s">
        <v>130</v>
      </c>
      <c r="B13" s="287" t="s">
        <v>131</v>
      </c>
      <c r="C13" s="288" t="e">
        <f aca="false">IF(C$11&lt;=CurrentMonthDays, ПланТуры/CurrentMonthDays,0)</f>
        <v>#N/A</v>
      </c>
      <c r="D13" s="288" t="e">
        <f aca="false">IF(D$11&lt;=CurrentMonthDays, ПланТуры/CurrentMonthDays,0)</f>
        <v>#N/A</v>
      </c>
      <c r="E13" s="288" t="e">
        <f aca="false">IF(E$11&lt;=CurrentMonthDays, ПланТуры/CurrentMonthDays,0)</f>
        <v>#N/A</v>
      </c>
      <c r="F13" s="288" t="e">
        <f aca="false">IF(F$11&lt;=CurrentMonthDays, ПланТуры/CurrentMonthDays,0)</f>
        <v>#N/A</v>
      </c>
      <c r="G13" s="288" t="e">
        <f aca="false">IF(G$11&lt;=CurrentMonthDays, ПланТуры/CurrentMonthDays,0)</f>
        <v>#N/A</v>
      </c>
      <c r="H13" s="288" t="e">
        <f aca="false">IF(H$11&lt;=CurrentMonthDays, ПланТуры/CurrentMonthDays,0)</f>
        <v>#N/A</v>
      </c>
      <c r="I13" s="288" t="e">
        <f aca="false">IF(I$11&lt;=CurrentMonthDays, ПланТуры/CurrentMonthDays,0)</f>
        <v>#N/A</v>
      </c>
      <c r="J13" s="288" t="e">
        <f aca="false">IF(J$11&lt;=CurrentMonthDays, ПланТуры/CurrentMonthDays,0)</f>
        <v>#N/A</v>
      </c>
      <c r="K13" s="288" t="e">
        <f aca="false">IF(K$11&lt;=CurrentMonthDays, ПланТуры/CurrentMonthDays,0)</f>
        <v>#N/A</v>
      </c>
      <c r="L13" s="288" t="e">
        <f aca="false">IF(L$11&lt;=CurrentMonthDays, ПланТуры/CurrentMonthDays,0)</f>
        <v>#N/A</v>
      </c>
      <c r="M13" s="288" t="e">
        <f aca="false">IF(M$11&lt;=CurrentMonthDays, ПланТуры/CurrentMonthDays,0)</f>
        <v>#N/A</v>
      </c>
      <c r="N13" s="288" t="e">
        <f aca="false">IF(N$11&lt;=CurrentMonthDays, ПланТуры/CurrentMonthDays,0)</f>
        <v>#N/A</v>
      </c>
      <c r="O13" s="288" t="e">
        <f aca="false">IF(O$11&lt;=CurrentMonthDays, ПланТуры/CurrentMonthDays,0)</f>
        <v>#N/A</v>
      </c>
      <c r="P13" s="288" t="e">
        <f aca="false">IF(P$11&lt;=CurrentMonthDays, ПланТуры/CurrentMonthDays,0)</f>
        <v>#N/A</v>
      </c>
      <c r="Q13" s="288" t="e">
        <f aca="false">IF(Q$11&lt;=CurrentMonthDays, ПланТуры/CurrentMonthDays,0)</f>
        <v>#N/A</v>
      </c>
      <c r="R13" s="288" t="e">
        <f aca="false">IF(R$11&lt;=CurrentMonthDays, ПланТуры/CurrentMonthDays,0)</f>
        <v>#N/A</v>
      </c>
      <c r="S13" s="288" t="e">
        <f aca="false">IF(S$11&lt;=CurrentMonthDays, ПланТуры/CurrentMonthDays,0)</f>
        <v>#N/A</v>
      </c>
      <c r="T13" s="288" t="e">
        <f aca="false">IF(T$11&lt;=CurrentMonthDays, ПланТуры/CurrentMonthDays,0)</f>
        <v>#N/A</v>
      </c>
      <c r="U13" s="288" t="e">
        <f aca="false">IF(U$11&lt;=CurrentMonthDays, ПланТуры/CurrentMonthDays,0)</f>
        <v>#N/A</v>
      </c>
      <c r="V13" s="288" t="e">
        <f aca="false">IF(V$11&lt;=CurrentMonthDays, ПланТуры/CurrentMonthDays,0)</f>
        <v>#N/A</v>
      </c>
      <c r="W13" s="288" t="e">
        <f aca="false">IF(W$11&lt;=CurrentMonthDays, ПланТуры/CurrentMonthDays,0)</f>
        <v>#N/A</v>
      </c>
      <c r="X13" s="288" t="e">
        <f aca="false">IF(X$11&lt;=CurrentMonthDays, ПланТуры/CurrentMonthDays,0)</f>
        <v>#N/A</v>
      </c>
      <c r="Y13" s="288" t="e">
        <f aca="false">IF(Y$11&lt;=CurrentMonthDays, ПланТуры/CurrentMonthDays,0)</f>
        <v>#N/A</v>
      </c>
      <c r="Z13" s="288" t="e">
        <f aca="false">IF(Z$11&lt;=CurrentMonthDays, ПланТуры/CurrentMonthDays,0)</f>
        <v>#N/A</v>
      </c>
      <c r="AA13" s="288" t="e">
        <f aca="false">IF(AA$11&lt;=CurrentMonthDays, ПланТуры/CurrentMonthDays,0)</f>
        <v>#N/A</v>
      </c>
      <c r="AB13" s="288" t="e">
        <f aca="false">IF(AB$11&lt;=CurrentMonthDays, ПланТуры/CurrentMonthDays,0)</f>
        <v>#N/A</v>
      </c>
      <c r="AC13" s="288" t="e">
        <f aca="false">IF(AC$11&lt;=CurrentMonthDays, ПланТуры/CurrentMonthDays,0)</f>
        <v>#N/A</v>
      </c>
      <c r="AD13" s="288" t="e">
        <f aca="false">IF(AD$11&lt;=CurrentMonthDays, ПланТуры/CurrentMonthDays,0)</f>
        <v>#N/A</v>
      </c>
      <c r="AE13" s="288" t="e">
        <f aca="false">IF(AE$11&lt;=CurrentMonthDays, ПланТуры/CurrentMonthDays,0)</f>
        <v>#N/A</v>
      </c>
      <c r="AF13" s="288" t="e">
        <f aca="false">IF(AF$11&lt;=CurrentMonthDays, ПланТуры/CurrentMonthDays,0)</f>
        <v>#N/A</v>
      </c>
      <c r="AG13" s="288" t="e">
        <f aca="false">IF(AG$11&lt;=CurrentMonthDays, ПланТуры/CurrentMonthDays,0)</f>
        <v>#N/A</v>
      </c>
      <c r="AH13" s="289" t="e">
        <f aca="false">SUM(C13:AG13)</f>
        <v>#N/A</v>
      </c>
    </row>
    <row r="14" customFormat="false" ht="24.95" hidden="false" customHeight="true" outlineLevel="0" collapsed="false">
      <c r="A14" s="286"/>
      <c r="B14" s="287" t="s">
        <v>132</v>
      </c>
      <c r="C14" s="288" t="e">
        <f aca="false">SUM($C13:C13)*C12</f>
        <v>#N/A</v>
      </c>
      <c r="D14" s="288" t="e">
        <f aca="false">SUM($C13:D13)*D12</f>
        <v>#N/A</v>
      </c>
      <c r="E14" s="288" t="e">
        <f aca="false">SUM($C13:E13)*E12</f>
        <v>#N/A</v>
      </c>
      <c r="F14" s="288" t="e">
        <f aca="false">SUM($C13:F13)*F12</f>
        <v>#N/A</v>
      </c>
      <c r="G14" s="288" t="e">
        <f aca="false">SUM($C13:G13)*G12</f>
        <v>#N/A</v>
      </c>
      <c r="H14" s="288" t="e">
        <f aca="false">SUM($C13:H13)*H12</f>
        <v>#N/A</v>
      </c>
      <c r="I14" s="288" t="e">
        <f aca="false">SUM($C13:I13)*I12</f>
        <v>#N/A</v>
      </c>
      <c r="J14" s="288" t="e">
        <f aca="false">SUM($C13:J13)*J12</f>
        <v>#N/A</v>
      </c>
      <c r="K14" s="288" t="e">
        <f aca="false">SUM($C13:K13)*K12</f>
        <v>#N/A</v>
      </c>
      <c r="L14" s="288" t="e">
        <f aca="false">SUM($C13:L13)*L12</f>
        <v>#N/A</v>
      </c>
      <c r="M14" s="288" t="e">
        <f aca="false">SUM($C13:M13)*M12</f>
        <v>#N/A</v>
      </c>
      <c r="N14" s="288" t="e">
        <f aca="false">SUM($C13:N13)*N12</f>
        <v>#N/A</v>
      </c>
      <c r="O14" s="288" t="e">
        <f aca="false">SUM($C13:O13)*O12</f>
        <v>#N/A</v>
      </c>
      <c r="P14" s="288" t="e">
        <f aca="false">SUM($C13:P13)*P12</f>
        <v>#N/A</v>
      </c>
      <c r="Q14" s="288" t="e">
        <f aca="false">SUM($C13:Q13)*Q12</f>
        <v>#N/A</v>
      </c>
      <c r="R14" s="288" t="e">
        <f aca="false">SUM($C13:R13)*R12</f>
        <v>#N/A</v>
      </c>
      <c r="S14" s="288" t="e">
        <f aca="false">SUM($C13:S13)*S12</f>
        <v>#N/A</v>
      </c>
      <c r="T14" s="288" t="e">
        <f aca="false">SUM($C13:T13)*T12</f>
        <v>#N/A</v>
      </c>
      <c r="U14" s="288" t="e">
        <f aca="false">SUM($C13:U13)*U12</f>
        <v>#N/A</v>
      </c>
      <c r="V14" s="288" t="e">
        <f aca="false">SUM($C13:V13)*V12</f>
        <v>#N/A</v>
      </c>
      <c r="W14" s="288" t="e">
        <f aca="false">SUM($C13:W13)*W12</f>
        <v>#N/A</v>
      </c>
      <c r="X14" s="288" t="e">
        <f aca="false">SUM($C13:X13)*X12</f>
        <v>#N/A</v>
      </c>
      <c r="Y14" s="288" t="e">
        <f aca="false">SUM($C13:Y13)*Y12</f>
        <v>#N/A</v>
      </c>
      <c r="Z14" s="288" t="e">
        <f aca="false">SUM($C13:Z13)*Z12</f>
        <v>#N/A</v>
      </c>
      <c r="AA14" s="288" t="e">
        <f aca="false">SUM($C13:AA13)*AA12</f>
        <v>#N/A</v>
      </c>
      <c r="AB14" s="288" t="e">
        <f aca="false">SUM($C13:AB13)*AB12</f>
        <v>#N/A</v>
      </c>
      <c r="AC14" s="288" t="e">
        <f aca="false">SUM($C13:AC13)*AC12</f>
        <v>#N/A</v>
      </c>
      <c r="AD14" s="288" t="e">
        <f aca="false">SUM($C13:AD13)*AD12</f>
        <v>#N/A</v>
      </c>
      <c r="AE14" s="288" t="e">
        <f aca="false">IF(AE$12=1,SUM($C13:AE13)*AE$12,NA())</f>
        <v>#N/A</v>
      </c>
      <c r="AF14" s="288" t="e">
        <f aca="false">IF(AF$12=1,SUM($C13:AF13)*AF$12,NA())</f>
        <v>#N/A</v>
      </c>
      <c r="AG14" s="288" t="e">
        <f aca="false">IF(AG$12=1,SUM($C13:AG13)*AG$12,NA())</f>
        <v>#N/A</v>
      </c>
      <c r="AH14" s="289"/>
    </row>
    <row r="15" customFormat="false" ht="24.95" hidden="false" customHeight="true" outlineLevel="0" collapsed="false">
      <c r="A15" s="286"/>
      <c r="B15" s="287" t="s">
        <v>133</v>
      </c>
      <c r="C15" s="288" t="e">
        <f aca="false">C14*0.75</f>
        <v>#N/A</v>
      </c>
      <c r="D15" s="288" t="e">
        <f aca="false">D14*0.75</f>
        <v>#N/A</v>
      </c>
      <c r="E15" s="288" t="e">
        <f aca="false">E14*0.75</f>
        <v>#N/A</v>
      </c>
      <c r="F15" s="288" t="e">
        <f aca="false">F14*0.75</f>
        <v>#N/A</v>
      </c>
      <c r="G15" s="288" t="e">
        <f aca="false">G14*0.75</f>
        <v>#N/A</v>
      </c>
      <c r="H15" s="288" t="e">
        <f aca="false">H14*0.75</f>
        <v>#N/A</v>
      </c>
      <c r="I15" s="288" t="e">
        <f aca="false">I14*0.75</f>
        <v>#N/A</v>
      </c>
      <c r="J15" s="288" t="e">
        <f aca="false">J14*0.75</f>
        <v>#N/A</v>
      </c>
      <c r="K15" s="288" t="e">
        <f aca="false">K14*0.75</f>
        <v>#N/A</v>
      </c>
      <c r="L15" s="288" t="e">
        <f aca="false">L14*0.75</f>
        <v>#N/A</v>
      </c>
      <c r="M15" s="288" t="e">
        <f aca="false">M14*0.75</f>
        <v>#N/A</v>
      </c>
      <c r="N15" s="288" t="e">
        <f aca="false">N14*0.75</f>
        <v>#N/A</v>
      </c>
      <c r="O15" s="288" t="e">
        <f aca="false">O14*0.75</f>
        <v>#N/A</v>
      </c>
      <c r="P15" s="288" t="e">
        <f aca="false">P14*0.75</f>
        <v>#N/A</v>
      </c>
      <c r="Q15" s="288" t="e">
        <f aca="false">Q14*0.75</f>
        <v>#N/A</v>
      </c>
      <c r="R15" s="288" t="e">
        <f aca="false">R14*0.75</f>
        <v>#N/A</v>
      </c>
      <c r="S15" s="288" t="e">
        <f aca="false">S14*0.75</f>
        <v>#N/A</v>
      </c>
      <c r="T15" s="288" t="e">
        <f aca="false">T14*0.75</f>
        <v>#N/A</v>
      </c>
      <c r="U15" s="288" t="e">
        <f aca="false">U14*0.75</f>
        <v>#N/A</v>
      </c>
      <c r="V15" s="288" t="e">
        <f aca="false">V14*0.75</f>
        <v>#N/A</v>
      </c>
      <c r="W15" s="288" t="e">
        <f aca="false">W14*0.75</f>
        <v>#N/A</v>
      </c>
      <c r="X15" s="288" t="e">
        <f aca="false">X14*0.75</f>
        <v>#N/A</v>
      </c>
      <c r="Y15" s="288" t="e">
        <f aca="false">Y14*0.75</f>
        <v>#N/A</v>
      </c>
      <c r="Z15" s="288" t="e">
        <f aca="false">Z14*0.75</f>
        <v>#N/A</v>
      </c>
      <c r="AA15" s="288" t="e">
        <f aca="false">AA14*0.75</f>
        <v>#N/A</v>
      </c>
      <c r="AB15" s="288" t="e">
        <f aca="false">AB14*0.75</f>
        <v>#N/A</v>
      </c>
      <c r="AC15" s="288" t="e">
        <f aca="false">AC14*0.75</f>
        <v>#N/A</v>
      </c>
      <c r="AD15" s="288" t="e">
        <f aca="false">AD14*0.75</f>
        <v>#N/A</v>
      </c>
      <c r="AE15" s="288" t="e">
        <f aca="false">AE14*0.75</f>
        <v>#N/A</v>
      </c>
      <c r="AF15" s="288" t="e">
        <f aca="false">AF14*0.75</f>
        <v>#N/A</v>
      </c>
      <c r="AG15" s="288" t="e">
        <f aca="false">AG14*0.75</f>
        <v>#N/A</v>
      </c>
      <c r="AH15" s="289"/>
    </row>
    <row r="16" customFormat="false" ht="24.95" hidden="false" customHeight="true" outlineLevel="0" collapsed="false">
      <c r="A16" s="286"/>
      <c r="B16" s="287" t="s">
        <v>134</v>
      </c>
      <c r="C16" s="288" t="e">
        <f aca="false">C14*1.25</f>
        <v>#N/A</v>
      </c>
      <c r="D16" s="288" t="e">
        <f aca="false">D14*1.25</f>
        <v>#N/A</v>
      </c>
      <c r="E16" s="288" t="e">
        <f aca="false">E14*1.25</f>
        <v>#N/A</v>
      </c>
      <c r="F16" s="288" t="e">
        <f aca="false">F14*1.25</f>
        <v>#N/A</v>
      </c>
      <c r="G16" s="288" t="e">
        <f aca="false">G14*1.25</f>
        <v>#N/A</v>
      </c>
      <c r="H16" s="288" t="e">
        <f aca="false">H14*1.25</f>
        <v>#N/A</v>
      </c>
      <c r="I16" s="288" t="e">
        <f aca="false">I14*1.25</f>
        <v>#N/A</v>
      </c>
      <c r="J16" s="288" t="e">
        <f aca="false">J14*1.25</f>
        <v>#N/A</v>
      </c>
      <c r="K16" s="288" t="e">
        <f aca="false">K14*1.25</f>
        <v>#N/A</v>
      </c>
      <c r="L16" s="288" t="e">
        <f aca="false">L14*1.25</f>
        <v>#N/A</v>
      </c>
      <c r="M16" s="288" t="e">
        <f aca="false">M14*1.25</f>
        <v>#N/A</v>
      </c>
      <c r="N16" s="288" t="e">
        <f aca="false">N14*1.25</f>
        <v>#N/A</v>
      </c>
      <c r="O16" s="288" t="e">
        <f aca="false">O14*1.25</f>
        <v>#N/A</v>
      </c>
      <c r="P16" s="288" t="e">
        <f aca="false">P14*1.25</f>
        <v>#N/A</v>
      </c>
      <c r="Q16" s="288" t="e">
        <f aca="false">Q14*1.25</f>
        <v>#N/A</v>
      </c>
      <c r="R16" s="288" t="e">
        <f aca="false">R14*1.25</f>
        <v>#N/A</v>
      </c>
      <c r="S16" s="288" t="e">
        <f aca="false">S14*1.25</f>
        <v>#N/A</v>
      </c>
      <c r="T16" s="288" t="e">
        <f aca="false">T14*1.25</f>
        <v>#N/A</v>
      </c>
      <c r="U16" s="288" t="e">
        <f aca="false">U14*1.25</f>
        <v>#N/A</v>
      </c>
      <c r="V16" s="288" t="e">
        <f aca="false">V14*1.25</f>
        <v>#N/A</v>
      </c>
      <c r="W16" s="288" t="e">
        <f aca="false">W14*1.25</f>
        <v>#N/A</v>
      </c>
      <c r="X16" s="288" t="e">
        <f aca="false">X14*1.25</f>
        <v>#N/A</v>
      </c>
      <c r="Y16" s="288" t="e">
        <f aca="false">Y14*1.25</f>
        <v>#N/A</v>
      </c>
      <c r="Z16" s="288" t="e">
        <f aca="false">Z14*1.25</f>
        <v>#N/A</v>
      </c>
      <c r="AA16" s="288" t="e">
        <f aca="false">AA14*1.25</f>
        <v>#N/A</v>
      </c>
      <c r="AB16" s="288" t="e">
        <f aca="false">AB14*1.25</f>
        <v>#N/A</v>
      </c>
      <c r="AC16" s="288" t="e">
        <f aca="false">AC14*1.25</f>
        <v>#N/A</v>
      </c>
      <c r="AD16" s="288" t="e">
        <f aca="false">AD14*1.25</f>
        <v>#N/A</v>
      </c>
      <c r="AE16" s="288" t="e">
        <f aca="false">AE14*1.25</f>
        <v>#N/A</v>
      </c>
      <c r="AF16" s="288" t="e">
        <f aca="false">AF14*1.25</f>
        <v>#N/A</v>
      </c>
      <c r="AG16" s="288" t="e">
        <f aca="false">AG14*1.25</f>
        <v>#N/A</v>
      </c>
      <c r="AH16" s="289"/>
    </row>
    <row r="17" customFormat="false" ht="24.95" hidden="false" customHeight="true" outlineLevel="0" collapsed="false">
      <c r="A17" s="286"/>
      <c r="B17" s="287" t="s">
        <v>40</v>
      </c>
      <c r="C17" s="288" t="n">
        <f aca="false">SUMIF(Фактеризация!$C$1:$C$25,$B17,Фактеризация!D$1:D$25)</f>
        <v>0</v>
      </c>
      <c r="D17" s="288" t="n">
        <f aca="false">SUMIF(Фактеризация!$C$1:$C$25,$B17,Фактеризация!E$1:E$25)</f>
        <v>0</v>
      </c>
      <c r="E17" s="288" t="n">
        <f aca="false">SUMIF(Фактеризация!$C$1:$C$25,$B17,Фактеризация!F$1:F$25)</f>
        <v>0</v>
      </c>
      <c r="F17" s="288" t="n">
        <f aca="false">SUMIF(Фактеризация!$C$1:$C$25,$B17,Фактеризация!G$1:G$25)</f>
        <v>0</v>
      </c>
      <c r="G17" s="288" t="n">
        <f aca="false">SUMIF(Фактеризация!$C$1:$C$25,$B17,Фактеризация!H$1:H$25)</f>
        <v>0</v>
      </c>
      <c r="H17" s="288" t="n">
        <f aca="false">SUMIF(Фактеризация!$C$1:$C$25,$B17,Фактеризация!I$1:I$25)</f>
        <v>0</v>
      </c>
      <c r="I17" s="288" t="n">
        <f aca="false">SUMIF(Фактеризация!$C$1:$C$25,$B17,Фактеризация!J$1:J$25)</f>
        <v>0</v>
      </c>
      <c r="J17" s="288" t="n">
        <f aca="false">SUMIF(Фактеризация!$C$1:$C$25,$B17,Фактеризация!K$1:K$25)</f>
        <v>0</v>
      </c>
      <c r="K17" s="288" t="n">
        <f aca="false">SUMIF(Фактеризация!$C$1:$C$25,$B17,Фактеризация!L$1:L$25)</f>
        <v>0</v>
      </c>
      <c r="L17" s="288" t="n">
        <f aca="false">SUMIF(Фактеризация!$C$1:$C$25,$B17,Фактеризация!M$1:M$25)</f>
        <v>0</v>
      </c>
      <c r="M17" s="288" t="n">
        <f aca="false">SUMIF(Фактеризация!$C$1:$C$25,$B17,Фактеризация!N$1:N$25)</f>
        <v>0</v>
      </c>
      <c r="N17" s="288" t="n">
        <f aca="false">SUMIF(Фактеризация!$C$1:$C$25,$B17,Фактеризация!O$1:O$25)</f>
        <v>0</v>
      </c>
      <c r="O17" s="288" t="n">
        <f aca="false">SUMIF(Фактеризация!$C$1:$C$25,$B17,Фактеризация!P$1:P$25)</f>
        <v>0</v>
      </c>
      <c r="P17" s="288" t="n">
        <f aca="false">SUMIF(Фактеризация!$C$1:$C$25,$B17,Фактеризация!Q$1:Q$25)</f>
        <v>0</v>
      </c>
      <c r="Q17" s="288" t="n">
        <f aca="false">SUMIF(Фактеризация!$C$1:$C$25,$B17,Фактеризация!R$1:R$25)</f>
        <v>0</v>
      </c>
      <c r="R17" s="288" t="n">
        <f aca="false">SUMIF(Фактеризация!$C$1:$C$25,$B17,Фактеризация!S$1:S$25)</f>
        <v>0</v>
      </c>
      <c r="S17" s="288" t="n">
        <f aca="false">SUMIF(Фактеризация!$C$1:$C$25,$B17,Фактеризация!T$1:T$25)</f>
        <v>0</v>
      </c>
      <c r="T17" s="288" t="n">
        <f aca="false">SUMIF(Фактеризация!$C$1:$C$25,$B17,Фактеризация!U$1:U$25)</f>
        <v>0</v>
      </c>
      <c r="U17" s="288" t="n">
        <f aca="false">SUMIF(Фактеризация!$C$1:$C$25,$B17,Фактеризация!V$1:V$25)</f>
        <v>0</v>
      </c>
      <c r="V17" s="288" t="n">
        <f aca="false">SUMIF(Фактеризация!$C$1:$C$25,$B17,Фактеризация!W$1:W$25)</f>
        <v>0</v>
      </c>
      <c r="W17" s="288" t="n">
        <f aca="false">SUMIF(Фактеризация!$C$1:$C$25,$B17,Фактеризация!X$1:X$25)</f>
        <v>0</v>
      </c>
      <c r="X17" s="288" t="n">
        <f aca="false">SUMIF(Фактеризация!$C$1:$C$25,$B17,Фактеризация!Y$1:Y$25)</f>
        <v>0</v>
      </c>
      <c r="Y17" s="288" t="n">
        <f aca="false">SUMIF(Фактеризация!$C$1:$C$25,$B17,Фактеризация!Z$1:Z$25)</f>
        <v>0</v>
      </c>
      <c r="Z17" s="288" t="n">
        <f aca="false">SUMIF(Фактеризация!$C$1:$C$25,$B17,Фактеризация!AA$1:AA$25)</f>
        <v>0</v>
      </c>
      <c r="AA17" s="288" t="n">
        <f aca="false">SUMIF(Фактеризация!$C$1:$C$25,$B17,Фактеризация!AB$1:AB$25)</f>
        <v>0</v>
      </c>
      <c r="AB17" s="288" t="n">
        <f aca="false">SUMIF(Фактеризация!$C$1:$C$25,$B17,Фактеризация!AC$1:AC$25)</f>
        <v>0</v>
      </c>
      <c r="AC17" s="288" t="n">
        <f aca="false">SUMIF(Фактеризация!$C$1:$C$25,$B17,Фактеризация!AD$1:AD$25)</f>
        <v>0</v>
      </c>
      <c r="AD17" s="288" t="n">
        <f aca="false">SUMIF(Фактеризация!$C$1:$C$25,$B17,Фактеризация!AE$1:AE$25)</f>
        <v>0</v>
      </c>
      <c r="AE17" s="288" t="n">
        <f aca="false">SUMIF(Фактеризация!$C$1:$C$25,$B17,Фактеризация!AF$1:AF$25)</f>
        <v>0</v>
      </c>
      <c r="AF17" s="288" t="n">
        <f aca="false">SUMIF(Фактеризация!$C$1:$C$25,$B17,Фактеризация!AG$1:AG$25)</f>
        <v>0</v>
      </c>
      <c r="AG17" s="288" t="n">
        <f aca="false">SUMIF(Фактеризация!$C$1:$C$25,$B17,Фактеризация!AH$1:AH$25)</f>
        <v>0</v>
      </c>
      <c r="AH17" s="289" t="n">
        <f aca="false">SUM(C17:AG17)</f>
        <v>0</v>
      </c>
    </row>
    <row r="18" customFormat="false" ht="24.95" hidden="false" customHeight="true" outlineLevel="0" collapsed="false">
      <c r="A18" s="286"/>
      <c r="B18" s="287" t="s">
        <v>132</v>
      </c>
      <c r="C18" s="288" t="n">
        <f aca="false">SUM($C17:C17)*C12</f>
        <v>0</v>
      </c>
      <c r="D18" s="288" t="e">
        <f aca="false">IF(SUM(D17:$AG17)&gt;0,SUM($C17:D17)*D12,NA())</f>
        <v>#N/A</v>
      </c>
      <c r="E18" s="288" t="e">
        <f aca="false">IF(SUM(E17:$AG17)&gt;0,SUM($C17:E17)*E12,NA())</f>
        <v>#N/A</v>
      </c>
      <c r="F18" s="288" t="e">
        <f aca="false">IF(SUM(F17:$AG17)&gt;0,SUM($C17:F17)*F12,NA())</f>
        <v>#N/A</v>
      </c>
      <c r="G18" s="288" t="e">
        <f aca="false">IF(SUM(G17:$AG17)&gt;0,SUM($C17:G17)*G12,NA())</f>
        <v>#N/A</v>
      </c>
      <c r="H18" s="288" t="e">
        <f aca="false">IF(SUM(H17:$AG17)&gt;0,SUM($C17:H17)*H12,NA())</f>
        <v>#N/A</v>
      </c>
      <c r="I18" s="288" t="e">
        <f aca="false">IF(SUM(I17:$AG17)&gt;0,SUM($C17:I17)*I12,NA())</f>
        <v>#N/A</v>
      </c>
      <c r="J18" s="288" t="e">
        <f aca="false">IF(SUM(J17:$AG17)&gt;0,SUM($C17:J17)*J12,NA())</f>
        <v>#N/A</v>
      </c>
      <c r="K18" s="288" t="e">
        <f aca="false">IF(SUM(K17:$AG17)&gt;0,SUM($C17:K17)*K12,NA())</f>
        <v>#N/A</v>
      </c>
      <c r="L18" s="288" t="e">
        <f aca="false">IF(SUM(L17:$AG17)&gt;0,SUM($C17:L17)*L12,NA())</f>
        <v>#N/A</v>
      </c>
      <c r="M18" s="288" t="e">
        <f aca="false">IF(SUM(M17:$AG17)&gt;0,SUM($C17:M17)*M12,NA())</f>
        <v>#N/A</v>
      </c>
      <c r="N18" s="288" t="e">
        <f aca="false">IF(SUM(N17:$AG17)&gt;0,SUM($C17:N17)*N12,NA())</f>
        <v>#N/A</v>
      </c>
      <c r="O18" s="288" t="e">
        <f aca="false">IF(SUM(O17:$AG17)&gt;0,SUM($C17:O17)*O12,NA())</f>
        <v>#N/A</v>
      </c>
      <c r="P18" s="288" t="e">
        <f aca="false">IF(SUM(P17:$AG17)&gt;0,SUM($C17:P17)*P12,NA())</f>
        <v>#N/A</v>
      </c>
      <c r="Q18" s="288" t="e">
        <f aca="false">IF(SUM(Q17:$AG17)&gt;0,SUM($C17:Q17)*Q12,NA())</f>
        <v>#N/A</v>
      </c>
      <c r="R18" s="288" t="e">
        <f aca="false">IF(SUM(R17:$AG17)&gt;0,SUM($C17:R17)*R12,NA())</f>
        <v>#N/A</v>
      </c>
      <c r="S18" s="288" t="e">
        <f aca="false">IF(SUM(S17:$AG17)&gt;0,SUM($C17:S17)*S12,NA())</f>
        <v>#N/A</v>
      </c>
      <c r="T18" s="288" t="e">
        <f aca="false">IF(SUM(T17:$AG17)&gt;0,SUM($C17:T17)*T12,NA())</f>
        <v>#N/A</v>
      </c>
      <c r="U18" s="288" t="e">
        <f aca="false">IF(SUM(U17:$AG17)&gt;0,SUM($C17:U17)*U12,NA())</f>
        <v>#N/A</v>
      </c>
      <c r="V18" s="288" t="e">
        <f aca="false">IF(SUM(V17:$AG17)&gt;0,SUM($C17:V17)*V12,NA())</f>
        <v>#N/A</v>
      </c>
      <c r="W18" s="288" t="e">
        <f aca="false">IF(SUM(W17:$AG17)&gt;0,SUM($C17:W17)*W12,NA())</f>
        <v>#N/A</v>
      </c>
      <c r="X18" s="288" t="e">
        <f aca="false">IF(SUM(X17:$AG17)&gt;0,SUM($C17:X17)*X12,NA())</f>
        <v>#N/A</v>
      </c>
      <c r="Y18" s="288" t="e">
        <f aca="false">IF(SUM(Y17:$AG17)&gt;0,SUM($C17:Y17)*Y12,NA())</f>
        <v>#N/A</v>
      </c>
      <c r="Z18" s="288" t="e">
        <f aca="false">IF(SUM(Z17:$AG17)&gt;0,SUM($C17:Z17)*Z12,NA())</f>
        <v>#N/A</v>
      </c>
      <c r="AA18" s="288" t="e">
        <f aca="false">IF(SUM(AA17:$AG17)&gt;0,SUM($C17:AA17)*AA12,NA())</f>
        <v>#N/A</v>
      </c>
      <c r="AB18" s="288" t="e">
        <f aca="false">IF(SUM(AB17:$AG17)&gt;0,SUM($C17:AB17)*AB12,NA())</f>
        <v>#N/A</v>
      </c>
      <c r="AC18" s="288" t="e">
        <f aca="false">IF(SUM(AC17:$AG17)&gt;0,SUM($C17:AC17)*AC12,NA())</f>
        <v>#N/A</v>
      </c>
      <c r="AD18" s="288" t="e">
        <f aca="false">IF(SUM(AD17:$AG17)&gt;0,SUM($C17:AD17)*AD12,NA())</f>
        <v>#N/A</v>
      </c>
      <c r="AE18" s="288" t="e">
        <f aca="false">IF(SUM(AE17:$AG17)&gt;0,SUM($C17:AE17)*AE12,NA())</f>
        <v>#N/A</v>
      </c>
      <c r="AF18" s="288" t="e">
        <f aca="false">IF(SUM(AF17:$AG17)&gt;0,SUM($C17:AF17)*AF12,NA())</f>
        <v>#N/A</v>
      </c>
      <c r="AG18" s="288" t="e">
        <f aca="false">IF(SUM(AG17:$AG17)&gt;0,SUM($C17:AG17)*AG12,NA())</f>
        <v>#N/A</v>
      </c>
      <c r="AH18" s="289" t="n">
        <f aca="false">AH17</f>
        <v>0</v>
      </c>
    </row>
    <row r="19" customFormat="false" ht="24.95" hidden="false" customHeight="true" outlineLevel="0" collapsed="false">
      <c r="A19" s="286"/>
      <c r="B19" s="287" t="s">
        <v>135</v>
      </c>
      <c r="C19" s="288" t="e">
        <f aca="false">IF(C$11&lt;=CurrentMonthDays, ПланДопы/CurrentMonthDays,0)</f>
        <v>#N/A</v>
      </c>
      <c r="D19" s="288" t="e">
        <f aca="false">IF(D$11&lt;=CurrentMonthDays, ПланДопы/CurrentMonthDays,0)</f>
        <v>#N/A</v>
      </c>
      <c r="E19" s="288" t="e">
        <f aca="false">IF(E$11&lt;=CurrentMonthDays, ПланДопы/CurrentMonthDays,0)</f>
        <v>#N/A</v>
      </c>
      <c r="F19" s="288" t="e">
        <f aca="false">IF(F$11&lt;=CurrentMonthDays, ПланДопы/CurrentMonthDays,0)</f>
        <v>#N/A</v>
      </c>
      <c r="G19" s="288" t="e">
        <f aca="false">IF(G$11&lt;=CurrentMonthDays, ПланДопы/CurrentMonthDays,0)</f>
        <v>#N/A</v>
      </c>
      <c r="H19" s="288" t="e">
        <f aca="false">IF(H$11&lt;=CurrentMonthDays, ПланДопы/CurrentMonthDays,0)</f>
        <v>#N/A</v>
      </c>
      <c r="I19" s="288" t="e">
        <f aca="false">IF(I$11&lt;=CurrentMonthDays, ПланДопы/CurrentMonthDays,0)</f>
        <v>#N/A</v>
      </c>
      <c r="J19" s="288" t="e">
        <f aca="false">IF(J$11&lt;=CurrentMonthDays, ПланДопы/CurrentMonthDays,0)</f>
        <v>#N/A</v>
      </c>
      <c r="K19" s="288" t="e">
        <f aca="false">IF(K$11&lt;=CurrentMonthDays, ПланДопы/CurrentMonthDays,0)</f>
        <v>#N/A</v>
      </c>
      <c r="L19" s="288" t="e">
        <f aca="false">IF(L$11&lt;=CurrentMonthDays, ПланДопы/CurrentMonthDays,0)</f>
        <v>#N/A</v>
      </c>
      <c r="M19" s="288" t="e">
        <f aca="false">IF(M$11&lt;=CurrentMonthDays, ПланДопы/CurrentMonthDays,0)</f>
        <v>#N/A</v>
      </c>
      <c r="N19" s="288" t="e">
        <f aca="false">IF(N$11&lt;=CurrentMonthDays, ПланДопы/CurrentMonthDays,0)</f>
        <v>#N/A</v>
      </c>
      <c r="O19" s="288" t="e">
        <f aca="false">IF(O$11&lt;=CurrentMonthDays, ПланДопы/CurrentMonthDays,0)</f>
        <v>#N/A</v>
      </c>
      <c r="P19" s="288" t="e">
        <f aca="false">IF(P$11&lt;=CurrentMonthDays, ПланДопы/CurrentMonthDays,0)</f>
        <v>#N/A</v>
      </c>
      <c r="Q19" s="288" t="e">
        <f aca="false">IF(Q$11&lt;=CurrentMonthDays, ПланДопы/CurrentMonthDays,0)</f>
        <v>#N/A</v>
      </c>
      <c r="R19" s="288" t="e">
        <f aca="false">IF(R$11&lt;=CurrentMonthDays, ПланДопы/CurrentMonthDays,0)</f>
        <v>#N/A</v>
      </c>
      <c r="S19" s="288" t="e">
        <f aca="false">IF(S$11&lt;=CurrentMonthDays, ПланДопы/CurrentMonthDays,0)</f>
        <v>#N/A</v>
      </c>
      <c r="T19" s="288" t="e">
        <f aca="false">IF(T$11&lt;=CurrentMonthDays, ПланДопы/CurrentMonthDays,0)</f>
        <v>#N/A</v>
      </c>
      <c r="U19" s="288" t="e">
        <f aca="false">IF(U$11&lt;=CurrentMonthDays, ПланДопы/CurrentMonthDays,0)</f>
        <v>#N/A</v>
      </c>
      <c r="V19" s="288" t="e">
        <f aca="false">IF(V$11&lt;=CurrentMonthDays, ПланДопы/CurrentMonthDays,0)</f>
        <v>#N/A</v>
      </c>
      <c r="W19" s="288" t="e">
        <f aca="false">IF(W$11&lt;=CurrentMonthDays, ПланДопы/CurrentMonthDays,0)</f>
        <v>#N/A</v>
      </c>
      <c r="X19" s="288" t="e">
        <f aca="false">IF(X$11&lt;=CurrentMonthDays, ПланДопы/CurrentMonthDays,0)</f>
        <v>#N/A</v>
      </c>
      <c r="Y19" s="288" t="e">
        <f aca="false">IF(Y$11&lt;=CurrentMonthDays, ПланДопы/CurrentMonthDays,0)</f>
        <v>#N/A</v>
      </c>
      <c r="Z19" s="288" t="e">
        <f aca="false">IF(Z$11&lt;=CurrentMonthDays, ПланДопы/CurrentMonthDays,0)</f>
        <v>#N/A</v>
      </c>
      <c r="AA19" s="288" t="e">
        <f aca="false">IF(AA$11&lt;=CurrentMonthDays, ПланДопы/CurrentMonthDays,0)</f>
        <v>#N/A</v>
      </c>
      <c r="AB19" s="288" t="e">
        <f aca="false">IF(AB$11&lt;=CurrentMonthDays, ПланДопы/CurrentMonthDays,0)</f>
        <v>#N/A</v>
      </c>
      <c r="AC19" s="288" t="e">
        <f aca="false">IF(AC$11&lt;=CurrentMonthDays, ПланДопы/CurrentMonthDays,0)</f>
        <v>#N/A</v>
      </c>
      <c r="AD19" s="288" t="e">
        <f aca="false">IF(AD$11&lt;=CurrentMonthDays, ПланДопы/CurrentMonthDays,0)</f>
        <v>#N/A</v>
      </c>
      <c r="AE19" s="288" t="e">
        <f aca="false">IF(AE$11&lt;=CurrentMonthDays, ПланДопы/CurrentMonthDays,0)</f>
        <v>#N/A</v>
      </c>
      <c r="AF19" s="288" t="e">
        <f aca="false">IF(AF$11&lt;=CurrentMonthDays, ПланДопы/CurrentMonthDays,0)</f>
        <v>#N/A</v>
      </c>
      <c r="AG19" s="288" t="e">
        <f aca="false">IF(AG$11&lt;=CurrentMonthDays, ПланДопы/CurrentMonthDays,0)</f>
        <v>#N/A</v>
      </c>
      <c r="AH19" s="289" t="e">
        <f aca="false">SUM(C19:AG19)</f>
        <v>#N/A</v>
      </c>
      <c r="AI19" s="134" t="s">
        <v>136</v>
      </c>
    </row>
    <row r="20" customFormat="false" ht="24.95" hidden="false" customHeight="true" outlineLevel="0" collapsed="false">
      <c r="A20" s="286"/>
      <c r="B20" s="287" t="s">
        <v>132</v>
      </c>
      <c r="C20" s="288" t="e">
        <f aca="false">SUM($C19:C19)*C12</f>
        <v>#N/A</v>
      </c>
      <c r="D20" s="288" t="e">
        <f aca="false">SUM($C19:D19)*D12</f>
        <v>#N/A</v>
      </c>
      <c r="E20" s="288" t="e">
        <f aca="false">SUM($C19:E19)*E12</f>
        <v>#N/A</v>
      </c>
      <c r="F20" s="288" t="e">
        <f aca="false">SUM($C19:F19)*F12</f>
        <v>#N/A</v>
      </c>
      <c r="G20" s="288" t="e">
        <f aca="false">SUM($C19:G19)*G12</f>
        <v>#N/A</v>
      </c>
      <c r="H20" s="288" t="e">
        <f aca="false">SUM($C19:H19)*H12</f>
        <v>#N/A</v>
      </c>
      <c r="I20" s="288" t="e">
        <f aca="false">SUM($C19:I19)*I12</f>
        <v>#N/A</v>
      </c>
      <c r="J20" s="288" t="e">
        <f aca="false">SUM($C19:J19)*J12</f>
        <v>#N/A</v>
      </c>
      <c r="K20" s="288" t="e">
        <f aca="false">SUM($C19:K19)*K12</f>
        <v>#N/A</v>
      </c>
      <c r="L20" s="288" t="e">
        <f aca="false">SUM($C19:L19)*L12</f>
        <v>#N/A</v>
      </c>
      <c r="M20" s="288" t="e">
        <f aca="false">SUM($C19:M19)*M12</f>
        <v>#N/A</v>
      </c>
      <c r="N20" s="288" t="e">
        <f aca="false">SUM($C19:N19)*N12</f>
        <v>#N/A</v>
      </c>
      <c r="O20" s="288" t="e">
        <f aca="false">SUM($C19:O19)*O12</f>
        <v>#N/A</v>
      </c>
      <c r="P20" s="288" t="e">
        <f aca="false">SUM($C19:P19)*P12</f>
        <v>#N/A</v>
      </c>
      <c r="Q20" s="288" t="e">
        <f aca="false">SUM($C19:Q19)*Q12</f>
        <v>#N/A</v>
      </c>
      <c r="R20" s="288" t="e">
        <f aca="false">SUM($C19:R19)*R12</f>
        <v>#N/A</v>
      </c>
      <c r="S20" s="288" t="e">
        <f aca="false">SUM($C19:S19)*S12</f>
        <v>#N/A</v>
      </c>
      <c r="T20" s="288" t="e">
        <f aca="false">SUM($C19:T19)*T12</f>
        <v>#N/A</v>
      </c>
      <c r="U20" s="288" t="e">
        <f aca="false">SUM($C19:U19)*U12</f>
        <v>#N/A</v>
      </c>
      <c r="V20" s="288" t="e">
        <f aca="false">SUM($C19:V19)*V12</f>
        <v>#N/A</v>
      </c>
      <c r="W20" s="288" t="e">
        <f aca="false">SUM($C19:W19)*W12</f>
        <v>#N/A</v>
      </c>
      <c r="X20" s="288" t="e">
        <f aca="false">SUM($C19:X19)*X12</f>
        <v>#N/A</v>
      </c>
      <c r="Y20" s="288" t="e">
        <f aca="false">SUM($C19:Y19)*Y12</f>
        <v>#N/A</v>
      </c>
      <c r="Z20" s="288" t="e">
        <f aca="false">SUM($C19:Z19)*Z12</f>
        <v>#N/A</v>
      </c>
      <c r="AA20" s="288" t="e">
        <f aca="false">SUM($C19:AA19)*AA12</f>
        <v>#N/A</v>
      </c>
      <c r="AB20" s="288" t="e">
        <f aca="false">SUM($C19:AB19)*AB12</f>
        <v>#N/A</v>
      </c>
      <c r="AC20" s="288" t="e">
        <f aca="false">SUM($C19:AC19)*AC12</f>
        <v>#N/A</v>
      </c>
      <c r="AD20" s="288" t="e">
        <f aca="false">SUM($C19:AD19)*AD12</f>
        <v>#N/A</v>
      </c>
      <c r="AE20" s="288" t="e">
        <f aca="false">IF(AE$12=1,SUM($C19:AE19)*AE$12,NA())</f>
        <v>#N/A</v>
      </c>
      <c r="AF20" s="288" t="e">
        <f aca="false">IF(AF$12=1,SUM($C19:AF19)*AF$12,NA())</f>
        <v>#N/A</v>
      </c>
      <c r="AG20" s="288" t="e">
        <f aca="false">IF(AG$12=1,SUM($C19:AG19)*AG$12,NA())</f>
        <v>#N/A</v>
      </c>
      <c r="AH20" s="289" t="e">
        <f aca="false">MAX(C20:AG20)</f>
        <v>#N/A</v>
      </c>
      <c r="AI20" s="134" t="s">
        <v>136</v>
      </c>
    </row>
    <row r="21" customFormat="false" ht="24.95" hidden="false" customHeight="true" outlineLevel="0" collapsed="false">
      <c r="A21" s="286"/>
      <c r="B21" s="287" t="s">
        <v>133</v>
      </c>
      <c r="C21" s="288" t="e">
        <f aca="false">C20*0.75</f>
        <v>#N/A</v>
      </c>
      <c r="D21" s="288" t="e">
        <f aca="false">D20*0.75</f>
        <v>#N/A</v>
      </c>
      <c r="E21" s="288" t="e">
        <f aca="false">E20*0.75</f>
        <v>#N/A</v>
      </c>
      <c r="F21" s="288" t="e">
        <f aca="false">F20*0.75</f>
        <v>#N/A</v>
      </c>
      <c r="G21" s="288" t="e">
        <f aca="false">G20*0.75</f>
        <v>#N/A</v>
      </c>
      <c r="H21" s="288" t="e">
        <f aca="false">H20*0.75</f>
        <v>#N/A</v>
      </c>
      <c r="I21" s="288" t="e">
        <f aca="false">I20*0.75</f>
        <v>#N/A</v>
      </c>
      <c r="J21" s="288" t="e">
        <f aca="false">J20*0.75</f>
        <v>#N/A</v>
      </c>
      <c r="K21" s="288" t="e">
        <f aca="false">K20*0.75</f>
        <v>#N/A</v>
      </c>
      <c r="L21" s="288" t="e">
        <f aca="false">L20*0.75</f>
        <v>#N/A</v>
      </c>
      <c r="M21" s="288" t="e">
        <f aca="false">M20*0.75</f>
        <v>#N/A</v>
      </c>
      <c r="N21" s="288" t="e">
        <f aca="false">N20*0.75</f>
        <v>#N/A</v>
      </c>
      <c r="O21" s="288" t="e">
        <f aca="false">O20*0.75</f>
        <v>#N/A</v>
      </c>
      <c r="P21" s="288" t="e">
        <f aca="false">P20*0.75</f>
        <v>#N/A</v>
      </c>
      <c r="Q21" s="288" t="e">
        <f aca="false">Q20*0.75</f>
        <v>#N/A</v>
      </c>
      <c r="R21" s="288" t="e">
        <f aca="false">R20*0.75</f>
        <v>#N/A</v>
      </c>
      <c r="S21" s="288" t="e">
        <f aca="false">S20*0.75</f>
        <v>#N/A</v>
      </c>
      <c r="T21" s="288" t="e">
        <f aca="false">T20*0.75</f>
        <v>#N/A</v>
      </c>
      <c r="U21" s="288" t="e">
        <f aca="false">U20*0.75</f>
        <v>#N/A</v>
      </c>
      <c r="V21" s="288" t="e">
        <f aca="false">V20*0.75</f>
        <v>#N/A</v>
      </c>
      <c r="W21" s="288" t="e">
        <f aca="false">W20*0.75</f>
        <v>#N/A</v>
      </c>
      <c r="X21" s="288" t="e">
        <f aca="false">X20*0.75</f>
        <v>#N/A</v>
      </c>
      <c r="Y21" s="288" t="e">
        <f aca="false">Y20*0.75</f>
        <v>#N/A</v>
      </c>
      <c r="Z21" s="288" t="e">
        <f aca="false">Z20*0.75</f>
        <v>#N/A</v>
      </c>
      <c r="AA21" s="288" t="e">
        <f aca="false">AA20*0.75</f>
        <v>#N/A</v>
      </c>
      <c r="AB21" s="288" t="e">
        <f aca="false">AB20*0.75</f>
        <v>#N/A</v>
      </c>
      <c r="AC21" s="288" t="e">
        <f aca="false">AC20*0.75</f>
        <v>#N/A</v>
      </c>
      <c r="AD21" s="288" t="e">
        <f aca="false">AD20*0.75</f>
        <v>#N/A</v>
      </c>
      <c r="AE21" s="288" t="e">
        <f aca="false">AE20*0.75</f>
        <v>#N/A</v>
      </c>
      <c r="AF21" s="288" t="e">
        <f aca="false">AF20*0.75</f>
        <v>#N/A</v>
      </c>
      <c r="AG21" s="288" t="e">
        <f aca="false">AG20*0.75</f>
        <v>#N/A</v>
      </c>
      <c r="AH21" s="289"/>
    </row>
    <row r="22" customFormat="false" ht="24.95" hidden="false" customHeight="true" outlineLevel="0" collapsed="false">
      <c r="A22" s="286"/>
      <c r="B22" s="287" t="s">
        <v>134</v>
      </c>
      <c r="C22" s="288" t="e">
        <f aca="false">C20*1.25</f>
        <v>#N/A</v>
      </c>
      <c r="D22" s="288" t="e">
        <f aca="false">D20*1.25</f>
        <v>#N/A</v>
      </c>
      <c r="E22" s="288" t="e">
        <f aca="false">E20*1.25</f>
        <v>#N/A</v>
      </c>
      <c r="F22" s="288" t="e">
        <f aca="false">F20*1.25</f>
        <v>#N/A</v>
      </c>
      <c r="G22" s="288" t="e">
        <f aca="false">G20*1.25</f>
        <v>#N/A</v>
      </c>
      <c r="H22" s="288" t="e">
        <f aca="false">H20*1.25</f>
        <v>#N/A</v>
      </c>
      <c r="I22" s="288" t="e">
        <f aca="false">I20*1.25</f>
        <v>#N/A</v>
      </c>
      <c r="J22" s="288" t="e">
        <f aca="false">J20*1.25</f>
        <v>#N/A</v>
      </c>
      <c r="K22" s="288" t="e">
        <f aca="false">K20*1.25</f>
        <v>#N/A</v>
      </c>
      <c r="L22" s="288" t="e">
        <f aca="false">L20*1.25</f>
        <v>#N/A</v>
      </c>
      <c r="M22" s="288" t="e">
        <f aca="false">M20*1.25</f>
        <v>#N/A</v>
      </c>
      <c r="N22" s="288" t="e">
        <f aca="false">N20*1.25</f>
        <v>#N/A</v>
      </c>
      <c r="O22" s="288" t="e">
        <f aca="false">O20*1.25</f>
        <v>#N/A</v>
      </c>
      <c r="P22" s="288" t="e">
        <f aca="false">P20*1.25</f>
        <v>#N/A</v>
      </c>
      <c r="Q22" s="288" t="e">
        <f aca="false">Q20*1.25</f>
        <v>#N/A</v>
      </c>
      <c r="R22" s="288" t="e">
        <f aca="false">R20*1.25</f>
        <v>#N/A</v>
      </c>
      <c r="S22" s="288" t="e">
        <f aca="false">S20*1.25</f>
        <v>#N/A</v>
      </c>
      <c r="T22" s="288" t="e">
        <f aca="false">T20*1.25</f>
        <v>#N/A</v>
      </c>
      <c r="U22" s="288" t="e">
        <f aca="false">U20*1.25</f>
        <v>#N/A</v>
      </c>
      <c r="V22" s="288" t="e">
        <f aca="false">V20*1.25</f>
        <v>#N/A</v>
      </c>
      <c r="W22" s="288" t="e">
        <f aca="false">W20*1.25</f>
        <v>#N/A</v>
      </c>
      <c r="X22" s="288" t="e">
        <f aca="false">X20*1.25</f>
        <v>#N/A</v>
      </c>
      <c r="Y22" s="288" t="e">
        <f aca="false">Y20*1.25</f>
        <v>#N/A</v>
      </c>
      <c r="Z22" s="288" t="e">
        <f aca="false">Z20*1.25</f>
        <v>#N/A</v>
      </c>
      <c r="AA22" s="288" t="e">
        <f aca="false">AA20*1.25</f>
        <v>#N/A</v>
      </c>
      <c r="AB22" s="288" t="e">
        <f aca="false">AB20*1.25</f>
        <v>#N/A</v>
      </c>
      <c r="AC22" s="288" t="e">
        <f aca="false">AC20*1.25</f>
        <v>#N/A</v>
      </c>
      <c r="AD22" s="288" t="e">
        <f aca="false">AD20*1.25</f>
        <v>#N/A</v>
      </c>
      <c r="AE22" s="288" t="e">
        <f aca="false">AE20*1.25</f>
        <v>#N/A</v>
      </c>
      <c r="AF22" s="288" t="e">
        <f aca="false">AF20*1.25</f>
        <v>#N/A</v>
      </c>
      <c r="AG22" s="288" t="e">
        <f aca="false">AG20*1.25</f>
        <v>#N/A</v>
      </c>
      <c r="AH22" s="289"/>
    </row>
    <row r="23" customFormat="false" ht="24.95" hidden="false" customHeight="true" outlineLevel="0" collapsed="false">
      <c r="A23" s="286"/>
      <c r="B23" s="287" t="s">
        <v>41</v>
      </c>
      <c r="C23" s="288" t="n">
        <f aca="false">SUMIF(Фактеризация!$C$1:$C$25,$B23,Фактеризация!D$1:D$25)</f>
        <v>0</v>
      </c>
      <c r="D23" s="288" t="n">
        <f aca="false">SUMIF(Фактеризация!$C$1:$C$25,$B23,Фактеризация!E$1:E$25)</f>
        <v>0</v>
      </c>
      <c r="E23" s="288" t="n">
        <f aca="false">SUMIF(Фактеризация!$C$1:$C$25,$B23,Фактеризация!F$1:F$25)</f>
        <v>0</v>
      </c>
      <c r="F23" s="288" t="n">
        <f aca="false">SUMIF(Фактеризация!$C$1:$C$25,$B23,Фактеризация!G$1:G$25)</f>
        <v>0</v>
      </c>
      <c r="G23" s="288" t="n">
        <f aca="false">SUMIF(Фактеризация!$C$1:$C$25,$B23,Фактеризация!H$1:H$25)</f>
        <v>0</v>
      </c>
      <c r="H23" s="288" t="n">
        <f aca="false">SUMIF(Фактеризация!$C$1:$C$25,$B23,Фактеризация!I$1:I$25)</f>
        <v>0</v>
      </c>
      <c r="I23" s="288" t="n">
        <f aca="false">SUMIF(Фактеризация!$C$1:$C$25,$B23,Фактеризация!J$1:J$25)</f>
        <v>0</v>
      </c>
      <c r="J23" s="288" t="n">
        <f aca="false">SUMIF(Фактеризация!$C$1:$C$25,$B23,Фактеризация!K$1:K$25)</f>
        <v>0</v>
      </c>
      <c r="K23" s="288" t="n">
        <f aca="false">SUMIF(Фактеризация!$C$1:$C$25,$B23,Фактеризация!L$1:L$25)</f>
        <v>0</v>
      </c>
      <c r="L23" s="288" t="n">
        <f aca="false">SUMIF(Фактеризация!$C$1:$C$25,$B23,Фактеризация!M$1:M$25)</f>
        <v>0</v>
      </c>
      <c r="M23" s="288" t="n">
        <f aca="false">SUMIF(Фактеризация!$C$1:$C$25,$B23,Фактеризация!N$1:N$25)</f>
        <v>0</v>
      </c>
      <c r="N23" s="288" t="n">
        <f aca="false">SUMIF(Фактеризация!$C$1:$C$25,$B23,Фактеризация!O$1:O$25)</f>
        <v>0</v>
      </c>
      <c r="O23" s="288" t="n">
        <f aca="false">SUMIF(Фактеризация!$C$1:$C$25,$B23,Фактеризация!P$1:P$25)</f>
        <v>0</v>
      </c>
      <c r="P23" s="288" t="n">
        <f aca="false">SUMIF(Фактеризация!$C$1:$C$25,$B23,Фактеризация!Q$1:Q$25)</f>
        <v>0</v>
      </c>
      <c r="Q23" s="288" t="n">
        <f aca="false">SUMIF(Фактеризация!$C$1:$C$25,$B23,Фактеризация!R$1:R$25)</f>
        <v>0</v>
      </c>
      <c r="R23" s="288" t="n">
        <f aca="false">SUMIF(Фактеризация!$C$1:$C$25,$B23,Фактеризация!S$1:S$25)</f>
        <v>0</v>
      </c>
      <c r="S23" s="288" t="n">
        <f aca="false">SUMIF(Фактеризация!$C$1:$C$25,$B23,Фактеризация!T$1:T$25)</f>
        <v>0</v>
      </c>
      <c r="T23" s="288" t="n">
        <f aca="false">SUMIF(Фактеризация!$C$1:$C$25,$B23,Фактеризация!U$1:U$25)</f>
        <v>0</v>
      </c>
      <c r="U23" s="288" t="n">
        <f aca="false">SUMIF(Фактеризация!$C$1:$C$25,$B23,Фактеризация!V$1:V$25)</f>
        <v>0</v>
      </c>
      <c r="V23" s="288" t="n">
        <f aca="false">SUMIF(Фактеризация!$C$1:$C$25,$B23,Фактеризация!W$1:W$25)</f>
        <v>0</v>
      </c>
      <c r="W23" s="288" t="n">
        <f aca="false">SUMIF(Фактеризация!$C$1:$C$25,$B23,Фактеризация!X$1:X$25)</f>
        <v>0</v>
      </c>
      <c r="X23" s="288" t="n">
        <f aca="false">SUMIF(Фактеризация!$C$1:$C$25,$B23,Фактеризация!Y$1:Y$25)</f>
        <v>0</v>
      </c>
      <c r="Y23" s="288" t="n">
        <f aca="false">SUMIF(Фактеризация!$C$1:$C$25,$B23,Фактеризация!Z$1:Z$25)</f>
        <v>0</v>
      </c>
      <c r="Z23" s="288" t="n">
        <f aca="false">SUMIF(Фактеризация!$C$1:$C$25,$B23,Фактеризация!AA$1:AA$25)</f>
        <v>0</v>
      </c>
      <c r="AA23" s="288" t="n">
        <f aca="false">SUMIF(Фактеризация!$C$1:$C$25,$B23,Фактеризация!AB$1:AB$25)</f>
        <v>0</v>
      </c>
      <c r="AB23" s="288" t="n">
        <f aca="false">SUMIF(Фактеризация!$C$1:$C$25,$B23,Фактеризация!AC$1:AC$25)</f>
        <v>0</v>
      </c>
      <c r="AC23" s="288" t="n">
        <f aca="false">SUMIF(Фактеризация!$C$1:$C$25,$B23,Фактеризация!AD$1:AD$25)</f>
        <v>0</v>
      </c>
      <c r="AD23" s="288" t="n">
        <f aca="false">SUMIF(Фактеризация!$C$1:$C$25,$B23,Фактеризация!AE$1:AE$25)</f>
        <v>0</v>
      </c>
      <c r="AE23" s="288" t="n">
        <f aca="false">SUMIF(Фактеризация!$C$1:$C$25,$B23,Фактеризация!AF$1:AF$25)</f>
        <v>0</v>
      </c>
      <c r="AF23" s="288" t="n">
        <f aca="false">SUMIF(Фактеризация!$C$1:$C$25,$B23,Фактеризация!AG$1:AG$25)</f>
        <v>0</v>
      </c>
      <c r="AG23" s="288" t="n">
        <f aca="false">SUMIF(Фактеризация!$C$1:$C$25,$B23,Фактеризация!AH$1:AH$25)</f>
        <v>0</v>
      </c>
      <c r="AH23" s="289" t="n">
        <f aca="false">SUM(C23:AG23)</f>
        <v>0</v>
      </c>
      <c r="AI23" s="134" t="s">
        <v>136</v>
      </c>
    </row>
    <row r="24" customFormat="false" ht="24.95" hidden="false" customHeight="true" outlineLevel="0" collapsed="false">
      <c r="A24" s="286"/>
      <c r="B24" s="287" t="s">
        <v>132</v>
      </c>
      <c r="C24" s="288" t="n">
        <f aca="false">SUM($C23:C23)*C12</f>
        <v>0</v>
      </c>
      <c r="D24" s="288" t="e">
        <f aca="false">IF(SUM(D23:$AG23)&gt;0,SUM($C23:D23)*D12,NA())</f>
        <v>#N/A</v>
      </c>
      <c r="E24" s="288" t="e">
        <f aca="false">IF(SUM(E23:$AG23)&gt;0,SUM($C23:E23)*E12,NA())</f>
        <v>#N/A</v>
      </c>
      <c r="F24" s="288" t="e">
        <f aca="false">IF(SUM(F23:$AG23)&gt;0,SUM($C23:F23)*F12,NA())</f>
        <v>#N/A</v>
      </c>
      <c r="G24" s="288" t="e">
        <f aca="false">IF(SUM(G23:$AG23)&gt;0,SUM($C23:G23)*G12,NA())</f>
        <v>#N/A</v>
      </c>
      <c r="H24" s="288" t="e">
        <f aca="false">IF(SUM(H23:$AG23)&gt;0,SUM($C23:H23)*H12,NA())</f>
        <v>#N/A</v>
      </c>
      <c r="I24" s="288" t="e">
        <f aca="false">IF(SUM(I23:$AG23)&gt;0,SUM($C23:I23)*I12,NA())</f>
        <v>#N/A</v>
      </c>
      <c r="J24" s="288" t="e">
        <f aca="false">IF(SUM(J23:$AG23)&gt;0,SUM($C23:J23)*J12,NA())</f>
        <v>#N/A</v>
      </c>
      <c r="K24" s="288" t="e">
        <f aca="false">IF(SUM(K23:$AG23)&gt;0,SUM($C23:K23)*K12,NA())</f>
        <v>#N/A</v>
      </c>
      <c r="L24" s="288" t="e">
        <f aca="false">IF(SUM(L23:$AG23)&gt;0,SUM($C23:L23)*L12,NA())</f>
        <v>#N/A</v>
      </c>
      <c r="M24" s="288" t="e">
        <f aca="false">IF(SUM(M23:$AG23)&gt;0,SUM($C23:M23)*M12,NA())</f>
        <v>#N/A</v>
      </c>
      <c r="N24" s="288" t="e">
        <f aca="false">IF(SUM(N23:$AG23)&gt;0,SUM($C23:N23)*N12,NA())</f>
        <v>#N/A</v>
      </c>
      <c r="O24" s="288" t="e">
        <f aca="false">IF(SUM(O23:$AG23)&gt;0,SUM($C23:O23)*O12,NA())</f>
        <v>#N/A</v>
      </c>
      <c r="P24" s="288" t="e">
        <f aca="false">IF(SUM(P23:$AG23)&gt;0,SUM($C23:P23)*P12,NA())</f>
        <v>#N/A</v>
      </c>
      <c r="Q24" s="288" t="e">
        <f aca="false">IF(SUM(Q23:$AG23)&gt;0,SUM($C23:Q23)*Q12,NA())</f>
        <v>#N/A</v>
      </c>
      <c r="R24" s="288" t="e">
        <f aca="false">IF(SUM(R23:$AG23)&gt;0,SUM($C23:R23)*R12,NA())</f>
        <v>#N/A</v>
      </c>
      <c r="S24" s="288" t="e">
        <f aca="false">IF(SUM(S23:$AG23)&gt;0,SUM($C23:S23)*S12,NA())</f>
        <v>#N/A</v>
      </c>
      <c r="T24" s="288" t="e">
        <f aca="false">IF(SUM(T23:$AG23)&gt;0,SUM($C23:T23)*T12,NA())</f>
        <v>#N/A</v>
      </c>
      <c r="U24" s="288" t="e">
        <f aca="false">IF(SUM(U23:$AG23)&gt;0,SUM($C23:U23)*U12,NA())</f>
        <v>#N/A</v>
      </c>
      <c r="V24" s="288" t="e">
        <f aca="false">IF(SUM(V23:$AG23)&gt;0,SUM($C23:V23)*V12,NA())</f>
        <v>#N/A</v>
      </c>
      <c r="W24" s="288" t="e">
        <f aca="false">IF(SUM(W23:$AG23)&gt;0,SUM($C23:W23)*W12,NA())</f>
        <v>#N/A</v>
      </c>
      <c r="X24" s="288" t="e">
        <f aca="false">IF(SUM(X23:$AG23)&gt;0,SUM($C23:X23)*X12,NA())</f>
        <v>#N/A</v>
      </c>
      <c r="Y24" s="288" t="e">
        <f aca="false">IF(SUM(Y23:$AG23)&gt;0,SUM($C23:Y23)*Y12,NA())</f>
        <v>#N/A</v>
      </c>
      <c r="Z24" s="288" t="e">
        <f aca="false">IF(SUM(Z23:$AG23)&gt;0,SUM($C23:Z23)*Z12,NA())</f>
        <v>#N/A</v>
      </c>
      <c r="AA24" s="288" t="e">
        <f aca="false">IF(SUM(AA23:$AG23)&gt;0,SUM($C23:AA23)*AA12,NA())</f>
        <v>#N/A</v>
      </c>
      <c r="AB24" s="288" t="e">
        <f aca="false">IF(SUM(AB23:$AG23)&gt;0,SUM($C23:AB23)*AB12,NA())</f>
        <v>#N/A</v>
      </c>
      <c r="AC24" s="288" t="e">
        <f aca="false">IF(SUM(AC23:$AG23)&gt;0,SUM($C23:AC23)*AC12,NA())</f>
        <v>#N/A</v>
      </c>
      <c r="AD24" s="288" t="e">
        <f aca="false">IF(SUM(AD23:$AG23)&gt;0,SUM($C23:AD23)*AD12,NA())</f>
        <v>#N/A</v>
      </c>
      <c r="AE24" s="288" t="e">
        <f aca="false">IF(SUM(AE23:$AG23)&gt;0,SUM($C23:AE23)*AE12,NA())</f>
        <v>#N/A</v>
      </c>
      <c r="AF24" s="288" t="e">
        <f aca="false">IF(SUM(AF23:$AG23)&gt;0,SUM($C23:AF23)*AF12,NA())</f>
        <v>#N/A</v>
      </c>
      <c r="AG24" s="288" t="e">
        <f aca="false">IF(SUM(AG23:$AG23)&gt;0,SUM($C23:AG23)*AG12,NA())</f>
        <v>#N/A</v>
      </c>
      <c r="AH24" s="289" t="e">
        <f aca="false">MAX(C24:AG24)</f>
        <v>#N/A</v>
      </c>
      <c r="AI24" s="134" t="s">
        <v>136</v>
      </c>
    </row>
    <row r="25" customFormat="false" ht="24.95" hidden="false" customHeight="true" outlineLevel="0" collapsed="false">
      <c r="A25" s="286"/>
      <c r="B25" s="287" t="str">
        <f aca="false">Настройки!B5</f>
        <v>Соцсети</v>
      </c>
      <c r="C25" s="288" t="n">
        <f aca="false">SUMIF(Фактеризация!$C$1:$C$25,$B25,Фактеризация!D$1:D$25)</f>
        <v>0</v>
      </c>
      <c r="D25" s="288" t="n">
        <f aca="false">SUMIF(Фактеризация!$C$1:$C$25,$B25,Фактеризация!E$1:E$25)</f>
        <v>0</v>
      </c>
      <c r="E25" s="288" t="n">
        <f aca="false">SUMIF(Фактеризация!$C$1:$C$25,$B25,Фактеризация!F$1:F$25)</f>
        <v>0</v>
      </c>
      <c r="F25" s="288" t="n">
        <f aca="false">SUMIF(Фактеризация!$C$1:$C$25,$B25,Фактеризация!G$1:G$25)</f>
        <v>0</v>
      </c>
      <c r="G25" s="288" t="n">
        <f aca="false">SUMIF(Фактеризация!$C$1:$C$25,$B25,Фактеризация!H$1:H$25)</f>
        <v>0</v>
      </c>
      <c r="H25" s="288" t="n">
        <f aca="false">SUMIF(Фактеризация!$C$1:$C$25,$B25,Фактеризация!I$1:I$25)</f>
        <v>0</v>
      </c>
      <c r="I25" s="288" t="n">
        <f aca="false">SUMIF(Фактеризация!$C$1:$C$25,$B25,Фактеризация!J$1:J$25)</f>
        <v>0</v>
      </c>
      <c r="J25" s="288" t="n">
        <f aca="false">SUMIF(Фактеризация!$C$1:$C$25,$B25,Фактеризация!K$1:K$25)</f>
        <v>0</v>
      </c>
      <c r="K25" s="288" t="n">
        <f aca="false">SUMIF(Фактеризация!$C$1:$C$25,$B25,Фактеризация!L$1:L$25)</f>
        <v>0</v>
      </c>
      <c r="L25" s="288" t="n">
        <f aca="false">SUMIF(Фактеризация!$C$1:$C$25,$B25,Фактеризация!M$1:M$25)</f>
        <v>0</v>
      </c>
      <c r="M25" s="288" t="n">
        <f aca="false">SUMIF(Фактеризация!$C$1:$C$25,$B25,Фактеризация!N$1:N$25)</f>
        <v>0</v>
      </c>
      <c r="N25" s="288" t="n">
        <f aca="false">SUMIF(Фактеризация!$C$1:$C$25,$B25,Фактеризация!O$1:O$25)</f>
        <v>0</v>
      </c>
      <c r="O25" s="288" t="n">
        <f aca="false">SUMIF(Фактеризация!$C$1:$C$25,$B25,Фактеризация!P$1:P$25)</f>
        <v>0</v>
      </c>
      <c r="P25" s="288" t="n">
        <f aca="false">SUMIF(Фактеризация!$C$1:$C$25,$B25,Фактеризация!Q$1:Q$25)</f>
        <v>0</v>
      </c>
      <c r="Q25" s="288" t="n">
        <f aca="false">SUMIF(Фактеризация!$C$1:$C$25,$B25,Фактеризация!R$1:R$25)</f>
        <v>0</v>
      </c>
      <c r="R25" s="288" t="n">
        <f aca="false">SUMIF(Фактеризация!$C$1:$C$25,$B25,Фактеризация!S$1:S$25)</f>
        <v>0</v>
      </c>
      <c r="S25" s="288" t="n">
        <f aca="false">SUMIF(Фактеризация!$C$1:$C$25,$B25,Фактеризация!T$1:T$25)</f>
        <v>0</v>
      </c>
      <c r="T25" s="288" t="n">
        <f aca="false">SUMIF(Фактеризация!$C$1:$C$25,$B25,Фактеризация!U$1:U$25)</f>
        <v>0</v>
      </c>
      <c r="U25" s="288" t="n">
        <f aca="false">SUMIF(Фактеризация!$C$1:$C$25,$B25,Фактеризация!V$1:V$25)</f>
        <v>0</v>
      </c>
      <c r="V25" s="288" t="n">
        <f aca="false">SUMIF(Фактеризация!$C$1:$C$25,$B25,Фактеризация!W$1:W$25)</f>
        <v>0</v>
      </c>
      <c r="W25" s="288" t="n">
        <f aca="false">SUMIF(Фактеризация!$C$1:$C$25,$B25,Фактеризация!X$1:X$25)</f>
        <v>0</v>
      </c>
      <c r="X25" s="288" t="n">
        <f aca="false">SUMIF(Фактеризация!$C$1:$C$25,$B25,Фактеризация!Y$1:Y$25)</f>
        <v>0</v>
      </c>
      <c r="Y25" s="288" t="n">
        <f aca="false">SUMIF(Фактеризация!$C$1:$C$25,$B25,Фактеризация!Z$1:Z$25)</f>
        <v>0</v>
      </c>
      <c r="Z25" s="288" t="n">
        <f aca="false">SUMIF(Фактеризация!$C$1:$C$25,$B25,Фактеризация!AA$1:AA$25)</f>
        <v>0</v>
      </c>
      <c r="AA25" s="288" t="n">
        <f aca="false">SUMIF(Фактеризация!$C$1:$C$25,$B25,Фактеризация!AB$1:AB$25)</f>
        <v>0</v>
      </c>
      <c r="AB25" s="288" t="n">
        <f aca="false">SUMIF(Фактеризация!$C$1:$C$25,$B25,Фактеризация!AC$1:AC$25)</f>
        <v>0</v>
      </c>
      <c r="AC25" s="288" t="n">
        <f aca="false">SUMIF(Фактеризация!$C$1:$C$25,$B25,Фактеризация!AD$1:AD$25)</f>
        <v>0</v>
      </c>
      <c r="AD25" s="288" t="n">
        <f aca="false">SUMIF(Фактеризация!$C$1:$C$25,$B25,Фактеризация!AE$1:AE$25)</f>
        <v>0</v>
      </c>
      <c r="AE25" s="288" t="n">
        <f aca="false">SUMIF(Фактеризация!$C$1:$C$25,$B25,Фактеризация!AF$1:AF$25)</f>
        <v>0</v>
      </c>
      <c r="AF25" s="288" t="n">
        <f aca="false">SUMIF(Фактеризация!$C$1:$C$25,$B25,Фактеризация!AG$1:AG$25)</f>
        <v>0</v>
      </c>
      <c r="AG25" s="288" t="n">
        <f aca="false">SUMIF(Фактеризация!$C$1:$C$25,$B25,Фактеризация!AH$1:AH$25)</f>
        <v>0</v>
      </c>
      <c r="AH25" s="289" t="n">
        <f aca="false">SUMIF(Фактеризация!$C$1:$C$784,Служебный!B25,Фактеризация!$AI$1:$AI$784)</f>
        <v>0</v>
      </c>
      <c r="AI25" s="134" t="s">
        <v>137</v>
      </c>
    </row>
    <row r="26" customFormat="false" ht="24.95" hidden="false" customHeight="true" outlineLevel="0" collapsed="false">
      <c r="A26" s="286"/>
      <c r="B26" s="287" t="str">
        <f aca="false">Настройки!B6</f>
        <v>Сайт (директ)</v>
      </c>
      <c r="C26" s="288" t="n">
        <f aca="false">SUMIF(Фактеризация!$C$1:$C$25,$B26,Фактеризация!D$1:D$25)</f>
        <v>0</v>
      </c>
      <c r="D26" s="288" t="n">
        <f aca="false">SUMIF(Фактеризация!$C$1:$C$25,$B26,Фактеризация!E$1:E$25)</f>
        <v>0</v>
      </c>
      <c r="E26" s="288" t="n">
        <f aca="false">SUMIF(Фактеризация!$C$1:$C$25,$B26,Фактеризация!F$1:F$25)</f>
        <v>0</v>
      </c>
      <c r="F26" s="288" t="n">
        <f aca="false">SUMIF(Фактеризация!$C$1:$C$25,$B26,Фактеризация!G$1:G$25)</f>
        <v>0</v>
      </c>
      <c r="G26" s="288" t="n">
        <f aca="false">SUMIF(Фактеризация!$C$1:$C$25,$B26,Фактеризация!H$1:H$25)</f>
        <v>0</v>
      </c>
      <c r="H26" s="288" t="n">
        <f aca="false">SUMIF(Фактеризация!$C$1:$C$25,$B26,Фактеризация!I$1:I$25)</f>
        <v>0</v>
      </c>
      <c r="I26" s="288" t="n">
        <f aca="false">SUMIF(Фактеризация!$C$1:$C$25,$B26,Фактеризация!J$1:J$25)</f>
        <v>0</v>
      </c>
      <c r="J26" s="288" t="n">
        <f aca="false">SUMIF(Фактеризация!$C$1:$C$25,$B26,Фактеризация!K$1:K$25)</f>
        <v>0</v>
      </c>
      <c r="K26" s="288" t="n">
        <f aca="false">SUMIF(Фактеризация!$C$1:$C$25,$B26,Фактеризация!L$1:L$25)</f>
        <v>0</v>
      </c>
      <c r="L26" s="288" t="n">
        <f aca="false">SUMIF(Фактеризация!$C$1:$C$25,$B26,Фактеризация!M$1:M$25)</f>
        <v>0</v>
      </c>
      <c r="M26" s="288" t="n">
        <f aca="false">SUMIF(Фактеризация!$C$1:$C$25,$B26,Фактеризация!N$1:N$25)</f>
        <v>0</v>
      </c>
      <c r="N26" s="288" t="n">
        <f aca="false">SUMIF(Фактеризация!$C$1:$C$25,$B26,Фактеризация!O$1:O$25)</f>
        <v>0</v>
      </c>
      <c r="O26" s="288" t="n">
        <f aca="false">SUMIF(Фактеризация!$C$1:$C$25,$B26,Фактеризация!P$1:P$25)</f>
        <v>0</v>
      </c>
      <c r="P26" s="288" t="n">
        <f aca="false">SUMIF(Фактеризация!$C$1:$C$25,$B26,Фактеризация!Q$1:Q$25)</f>
        <v>0</v>
      </c>
      <c r="Q26" s="288" t="n">
        <f aca="false">SUMIF(Фактеризация!$C$1:$C$25,$B26,Фактеризация!R$1:R$25)</f>
        <v>0</v>
      </c>
      <c r="R26" s="288" t="n">
        <f aca="false">SUMIF(Фактеризация!$C$1:$C$25,$B26,Фактеризация!S$1:S$25)</f>
        <v>0</v>
      </c>
      <c r="S26" s="288" t="n">
        <f aca="false">SUMIF(Фактеризация!$C$1:$C$25,$B26,Фактеризация!T$1:T$25)</f>
        <v>0</v>
      </c>
      <c r="T26" s="288" t="n">
        <f aca="false">SUMIF(Фактеризация!$C$1:$C$25,$B26,Фактеризация!U$1:U$25)</f>
        <v>0</v>
      </c>
      <c r="U26" s="288" t="n">
        <f aca="false">SUMIF(Фактеризация!$C$1:$C$25,$B26,Фактеризация!V$1:V$25)</f>
        <v>0</v>
      </c>
      <c r="V26" s="288" t="n">
        <f aca="false">SUMIF(Фактеризация!$C$1:$C$25,$B26,Фактеризация!W$1:W$25)</f>
        <v>0</v>
      </c>
      <c r="W26" s="288" t="n">
        <f aca="false">SUMIF(Фактеризация!$C$1:$C$25,$B26,Фактеризация!X$1:X$25)</f>
        <v>0</v>
      </c>
      <c r="X26" s="288" t="n">
        <f aca="false">SUMIF(Фактеризация!$C$1:$C$25,$B26,Фактеризация!Y$1:Y$25)</f>
        <v>0</v>
      </c>
      <c r="Y26" s="288" t="n">
        <f aca="false">SUMIF(Фактеризация!$C$1:$C$25,$B26,Фактеризация!Z$1:Z$25)</f>
        <v>0</v>
      </c>
      <c r="Z26" s="288" t="n">
        <f aca="false">SUMIF(Фактеризация!$C$1:$C$25,$B26,Фактеризация!AA$1:AA$25)</f>
        <v>0</v>
      </c>
      <c r="AA26" s="288" t="n">
        <f aca="false">SUMIF(Фактеризация!$C$1:$C$25,$B26,Фактеризация!AB$1:AB$25)</f>
        <v>0</v>
      </c>
      <c r="AB26" s="288" t="n">
        <f aca="false">SUMIF(Фактеризация!$C$1:$C$25,$B26,Фактеризация!AC$1:AC$25)</f>
        <v>0</v>
      </c>
      <c r="AC26" s="288" t="n">
        <f aca="false">SUMIF(Фактеризация!$C$1:$C$25,$B26,Фактеризация!AD$1:AD$25)</f>
        <v>0</v>
      </c>
      <c r="AD26" s="288" t="n">
        <f aca="false">SUMIF(Фактеризация!$C$1:$C$25,$B26,Фактеризация!AE$1:AE$25)</f>
        <v>0</v>
      </c>
      <c r="AE26" s="288" t="n">
        <f aca="false">SUMIF(Фактеризация!$C$1:$C$25,$B26,Фактеризация!AF$1:AF$25)</f>
        <v>0</v>
      </c>
      <c r="AF26" s="288" t="n">
        <f aca="false">SUMIF(Фактеризация!$C$1:$C$25,$B26,Фактеризация!AG$1:AG$25)</f>
        <v>0</v>
      </c>
      <c r="AG26" s="288" t="n">
        <f aca="false">SUMIF(Фактеризация!$C$1:$C$25,$B26,Фактеризация!AH$1:AH$25)</f>
        <v>0</v>
      </c>
      <c r="AH26" s="289" t="n">
        <f aca="false">SUMIF(Фактеризация!$C$1:$C$784,Служебный!B26,Фактеризация!$AI$1:$AI$784)</f>
        <v>0</v>
      </c>
      <c r="AI26" s="134" t="s">
        <v>137</v>
      </c>
    </row>
    <row r="27" customFormat="false" ht="24.95" hidden="false" customHeight="true" outlineLevel="0" collapsed="false">
      <c r="A27" s="286"/>
      <c r="B27" s="287" t="str">
        <f aca="false">Настройки!B7</f>
        <v>Сайт (SEO)</v>
      </c>
      <c r="C27" s="288" t="n">
        <f aca="false">SUMIF(Фактеризация!$C$1:$C$25,$B27,Фактеризация!D$1:D$25)</f>
        <v>0</v>
      </c>
      <c r="D27" s="288" t="n">
        <f aca="false">SUMIF(Фактеризация!$C$1:$C$25,$B27,Фактеризация!E$1:E$25)</f>
        <v>0</v>
      </c>
      <c r="E27" s="288" t="n">
        <f aca="false">SUMIF(Фактеризация!$C$1:$C$25,$B27,Фактеризация!F$1:F$25)</f>
        <v>0</v>
      </c>
      <c r="F27" s="288" t="n">
        <f aca="false">SUMIF(Фактеризация!$C$1:$C$25,$B27,Фактеризация!G$1:G$25)</f>
        <v>0</v>
      </c>
      <c r="G27" s="288" t="n">
        <f aca="false">SUMIF(Фактеризация!$C$1:$C$25,$B27,Фактеризация!H$1:H$25)</f>
        <v>0</v>
      </c>
      <c r="H27" s="288" t="n">
        <f aca="false">SUMIF(Фактеризация!$C$1:$C$25,$B27,Фактеризация!I$1:I$25)</f>
        <v>0</v>
      </c>
      <c r="I27" s="288" t="n">
        <f aca="false">SUMIF(Фактеризация!$C$1:$C$25,$B27,Фактеризация!J$1:J$25)</f>
        <v>0</v>
      </c>
      <c r="J27" s="288" t="n">
        <f aca="false">SUMIF(Фактеризация!$C$1:$C$25,$B27,Фактеризация!K$1:K$25)</f>
        <v>0</v>
      </c>
      <c r="K27" s="288" t="n">
        <f aca="false">SUMIF(Фактеризация!$C$1:$C$25,$B27,Фактеризация!L$1:L$25)</f>
        <v>0</v>
      </c>
      <c r="L27" s="288" t="n">
        <f aca="false">SUMIF(Фактеризация!$C$1:$C$25,$B27,Фактеризация!M$1:M$25)</f>
        <v>0</v>
      </c>
      <c r="M27" s="288" t="n">
        <f aca="false">SUMIF(Фактеризация!$C$1:$C$25,$B27,Фактеризация!N$1:N$25)</f>
        <v>0</v>
      </c>
      <c r="N27" s="288" t="n">
        <f aca="false">SUMIF(Фактеризация!$C$1:$C$25,$B27,Фактеризация!O$1:O$25)</f>
        <v>0</v>
      </c>
      <c r="O27" s="288" t="n">
        <f aca="false">SUMIF(Фактеризация!$C$1:$C$25,$B27,Фактеризация!P$1:P$25)</f>
        <v>0</v>
      </c>
      <c r="P27" s="288" t="n">
        <f aca="false">SUMIF(Фактеризация!$C$1:$C$25,$B27,Фактеризация!Q$1:Q$25)</f>
        <v>0</v>
      </c>
      <c r="Q27" s="288" t="n">
        <f aca="false">SUMIF(Фактеризация!$C$1:$C$25,$B27,Фактеризация!R$1:R$25)</f>
        <v>0</v>
      </c>
      <c r="R27" s="288" t="n">
        <f aca="false">SUMIF(Фактеризация!$C$1:$C$25,$B27,Фактеризация!S$1:S$25)</f>
        <v>0</v>
      </c>
      <c r="S27" s="288" t="n">
        <f aca="false">SUMIF(Фактеризация!$C$1:$C$25,$B27,Фактеризация!T$1:T$25)</f>
        <v>0</v>
      </c>
      <c r="T27" s="288" t="n">
        <f aca="false">SUMIF(Фактеризация!$C$1:$C$25,$B27,Фактеризация!U$1:U$25)</f>
        <v>0</v>
      </c>
      <c r="U27" s="288" t="n">
        <f aca="false">SUMIF(Фактеризация!$C$1:$C$25,$B27,Фактеризация!V$1:V$25)</f>
        <v>0</v>
      </c>
      <c r="V27" s="288" t="n">
        <f aca="false">SUMIF(Фактеризация!$C$1:$C$25,$B27,Фактеризация!W$1:W$25)</f>
        <v>0</v>
      </c>
      <c r="W27" s="288" t="n">
        <f aca="false">SUMIF(Фактеризация!$C$1:$C$25,$B27,Фактеризация!X$1:X$25)</f>
        <v>0</v>
      </c>
      <c r="X27" s="288" t="n">
        <f aca="false">SUMIF(Фактеризация!$C$1:$C$25,$B27,Фактеризация!Y$1:Y$25)</f>
        <v>0</v>
      </c>
      <c r="Y27" s="288" t="n">
        <f aca="false">SUMIF(Фактеризация!$C$1:$C$25,$B27,Фактеризация!Z$1:Z$25)</f>
        <v>0</v>
      </c>
      <c r="Z27" s="288" t="n">
        <f aca="false">SUMIF(Фактеризация!$C$1:$C$25,$B27,Фактеризация!AA$1:AA$25)</f>
        <v>0</v>
      </c>
      <c r="AA27" s="288" t="n">
        <f aca="false">SUMIF(Фактеризация!$C$1:$C$25,$B27,Фактеризация!AB$1:AB$25)</f>
        <v>0</v>
      </c>
      <c r="AB27" s="288" t="n">
        <f aca="false">SUMIF(Фактеризация!$C$1:$C$25,$B27,Фактеризация!AC$1:AC$25)</f>
        <v>0</v>
      </c>
      <c r="AC27" s="288" t="n">
        <f aca="false">SUMIF(Фактеризация!$C$1:$C$25,$B27,Фактеризация!AD$1:AD$25)</f>
        <v>0</v>
      </c>
      <c r="AD27" s="288" t="n">
        <f aca="false">SUMIF(Фактеризация!$C$1:$C$25,$B27,Фактеризация!AE$1:AE$25)</f>
        <v>0</v>
      </c>
      <c r="AE27" s="288" t="n">
        <f aca="false">SUMIF(Фактеризация!$C$1:$C$25,$B27,Фактеризация!AF$1:AF$25)</f>
        <v>0</v>
      </c>
      <c r="AF27" s="288" t="n">
        <f aca="false">SUMIF(Фактеризация!$C$1:$C$25,$B27,Фактеризация!AG$1:AG$25)</f>
        <v>0</v>
      </c>
      <c r="AG27" s="288" t="n">
        <f aca="false">SUMIF(Фактеризация!$C$1:$C$25,$B27,Фактеризация!AH$1:AH$25)</f>
        <v>0</v>
      </c>
      <c r="AH27" s="289" t="n">
        <f aca="false">SUMIF(Фактеризация!$C$1:$C$784,Служебный!B27,Фактеризация!$AI$1:$AI$784)</f>
        <v>0</v>
      </c>
      <c r="AI27" s="134" t="s">
        <v>137</v>
      </c>
    </row>
    <row r="28" customFormat="false" ht="24.95" hidden="false" customHeight="true" outlineLevel="0" collapsed="false">
      <c r="A28" s="286"/>
      <c r="B28" s="287" t="str">
        <f aca="false">Настройки!B8</f>
        <v>Instagram</v>
      </c>
      <c r="C28" s="288" t="n">
        <f aca="false">SUMIF(Фактеризация!$C$1:$C$25,$B28,Фактеризация!D$1:D$25)</f>
        <v>0</v>
      </c>
      <c r="D28" s="288" t="n">
        <f aca="false">SUMIF(Фактеризация!$C$1:$C$25,$B28,Фактеризация!E$1:E$25)</f>
        <v>0</v>
      </c>
      <c r="E28" s="288" t="n">
        <f aca="false">SUMIF(Фактеризация!$C$1:$C$25,$B28,Фактеризация!F$1:F$25)</f>
        <v>0</v>
      </c>
      <c r="F28" s="288" t="n">
        <f aca="false">SUMIF(Фактеризация!$C$1:$C$25,$B28,Фактеризация!G$1:G$25)</f>
        <v>0</v>
      </c>
      <c r="G28" s="288" t="n">
        <f aca="false">SUMIF(Фактеризация!$C$1:$C$25,$B28,Фактеризация!H$1:H$25)</f>
        <v>0</v>
      </c>
      <c r="H28" s="288" t="n">
        <f aca="false">SUMIF(Фактеризация!$C$1:$C$25,$B28,Фактеризация!I$1:I$25)</f>
        <v>0</v>
      </c>
      <c r="I28" s="288" t="n">
        <f aca="false">SUMIF(Фактеризация!$C$1:$C$25,$B28,Фактеризация!J$1:J$25)</f>
        <v>0</v>
      </c>
      <c r="J28" s="288" t="n">
        <f aca="false">SUMIF(Фактеризация!$C$1:$C$25,$B28,Фактеризация!K$1:K$25)</f>
        <v>0</v>
      </c>
      <c r="K28" s="288" t="n">
        <f aca="false">SUMIF(Фактеризация!$C$1:$C$25,$B28,Фактеризация!L$1:L$25)</f>
        <v>0</v>
      </c>
      <c r="L28" s="288" t="n">
        <f aca="false">SUMIF(Фактеризация!$C$1:$C$25,$B28,Фактеризация!M$1:M$25)</f>
        <v>0</v>
      </c>
      <c r="M28" s="288" t="n">
        <f aca="false">SUMIF(Фактеризация!$C$1:$C$25,$B28,Фактеризация!N$1:N$25)</f>
        <v>0</v>
      </c>
      <c r="N28" s="288" t="n">
        <f aca="false">SUMIF(Фактеризация!$C$1:$C$25,$B28,Фактеризация!O$1:O$25)</f>
        <v>0</v>
      </c>
      <c r="O28" s="288" t="n">
        <f aca="false">SUMIF(Фактеризация!$C$1:$C$25,$B28,Фактеризация!P$1:P$25)</f>
        <v>0</v>
      </c>
      <c r="P28" s="288" t="n">
        <f aca="false">SUMIF(Фактеризация!$C$1:$C$25,$B28,Фактеризация!Q$1:Q$25)</f>
        <v>0</v>
      </c>
      <c r="Q28" s="288" t="n">
        <f aca="false">SUMIF(Фактеризация!$C$1:$C$25,$B28,Фактеризация!R$1:R$25)</f>
        <v>0</v>
      </c>
      <c r="R28" s="288" t="n">
        <f aca="false">SUMIF(Фактеризация!$C$1:$C$25,$B28,Фактеризация!S$1:S$25)</f>
        <v>0</v>
      </c>
      <c r="S28" s="288" t="n">
        <f aca="false">SUMIF(Фактеризация!$C$1:$C$25,$B28,Фактеризация!T$1:T$25)</f>
        <v>0</v>
      </c>
      <c r="T28" s="288" t="n">
        <f aca="false">SUMIF(Фактеризация!$C$1:$C$25,$B28,Фактеризация!U$1:U$25)</f>
        <v>0</v>
      </c>
      <c r="U28" s="288" t="n">
        <f aca="false">SUMIF(Фактеризация!$C$1:$C$25,$B28,Фактеризация!V$1:V$25)</f>
        <v>0</v>
      </c>
      <c r="V28" s="288" t="n">
        <f aca="false">SUMIF(Фактеризация!$C$1:$C$25,$B28,Фактеризация!W$1:W$25)</f>
        <v>0</v>
      </c>
      <c r="W28" s="288" t="n">
        <f aca="false">SUMIF(Фактеризация!$C$1:$C$25,$B28,Фактеризация!X$1:X$25)</f>
        <v>0</v>
      </c>
      <c r="X28" s="288" t="n">
        <f aca="false">SUMIF(Фактеризация!$C$1:$C$25,$B28,Фактеризация!Y$1:Y$25)</f>
        <v>0</v>
      </c>
      <c r="Y28" s="288" t="n">
        <f aca="false">SUMIF(Фактеризация!$C$1:$C$25,$B28,Фактеризация!Z$1:Z$25)</f>
        <v>0</v>
      </c>
      <c r="Z28" s="288" t="n">
        <f aca="false">SUMIF(Фактеризация!$C$1:$C$25,$B28,Фактеризация!AA$1:AA$25)</f>
        <v>0</v>
      </c>
      <c r="AA28" s="288" t="n">
        <f aca="false">SUMIF(Фактеризация!$C$1:$C$25,$B28,Фактеризация!AB$1:AB$25)</f>
        <v>0</v>
      </c>
      <c r="AB28" s="288" t="n">
        <f aca="false">SUMIF(Фактеризация!$C$1:$C$25,$B28,Фактеризация!AC$1:AC$25)</f>
        <v>0</v>
      </c>
      <c r="AC28" s="288" t="n">
        <f aca="false">SUMIF(Фактеризация!$C$1:$C$25,$B28,Фактеризация!AD$1:AD$25)</f>
        <v>0</v>
      </c>
      <c r="AD28" s="288" t="n">
        <f aca="false">SUMIF(Фактеризация!$C$1:$C$25,$B28,Фактеризация!AE$1:AE$25)</f>
        <v>0</v>
      </c>
      <c r="AE28" s="288" t="n">
        <f aca="false">SUMIF(Фактеризация!$C$1:$C$25,$B28,Фактеризация!AF$1:AF$25)</f>
        <v>0</v>
      </c>
      <c r="AF28" s="288" t="n">
        <f aca="false">SUMIF(Фактеризация!$C$1:$C$25,$B28,Фактеризация!AG$1:AG$25)</f>
        <v>0</v>
      </c>
      <c r="AG28" s="288" t="n">
        <f aca="false">SUMIF(Фактеризация!$C$1:$C$25,$B28,Фактеризация!AH$1:AH$25)</f>
        <v>0</v>
      </c>
      <c r="AH28" s="289" t="n">
        <f aca="false">SUMIF(Фактеризация!$C$1:$C$784,Служебный!B28,Фактеризация!$AI$1:$AI$784)</f>
        <v>0</v>
      </c>
      <c r="AI28" s="134" t="s">
        <v>137</v>
      </c>
    </row>
    <row r="29" customFormat="false" ht="24.95" hidden="false" customHeight="true" outlineLevel="0" collapsed="false">
      <c r="A29" s="286"/>
      <c r="B29" s="287" t="str">
        <f aca="false">Настройки!B9</f>
        <v>Зашли с улицы</v>
      </c>
      <c r="C29" s="288" t="n">
        <f aca="false">SUMIF(Фактеризация!$C$1:$C$25,$B29,Фактеризация!D$1:D$25)</f>
        <v>0</v>
      </c>
      <c r="D29" s="288" t="n">
        <f aca="false">SUMIF(Фактеризация!$C$1:$C$25,$B29,Фактеризация!E$1:E$25)</f>
        <v>0</v>
      </c>
      <c r="E29" s="288" t="n">
        <f aca="false">SUMIF(Фактеризация!$C$1:$C$25,$B29,Фактеризация!F$1:F$25)</f>
        <v>0</v>
      </c>
      <c r="F29" s="288" t="n">
        <f aca="false">SUMIF(Фактеризация!$C$1:$C$25,$B29,Фактеризация!G$1:G$25)</f>
        <v>0</v>
      </c>
      <c r="G29" s="288" t="n">
        <f aca="false">SUMIF(Фактеризация!$C$1:$C$25,$B29,Фактеризация!H$1:H$25)</f>
        <v>0</v>
      </c>
      <c r="H29" s="288" t="n">
        <f aca="false">SUMIF(Фактеризация!$C$1:$C$25,$B29,Фактеризация!I$1:I$25)</f>
        <v>0</v>
      </c>
      <c r="I29" s="288" t="n">
        <f aca="false">SUMIF(Фактеризация!$C$1:$C$25,$B29,Фактеризация!J$1:J$25)</f>
        <v>0</v>
      </c>
      <c r="J29" s="288" t="n">
        <f aca="false">SUMIF(Фактеризация!$C$1:$C$25,$B29,Фактеризация!K$1:K$25)</f>
        <v>0</v>
      </c>
      <c r="K29" s="288" t="n">
        <f aca="false">SUMIF(Фактеризация!$C$1:$C$25,$B29,Фактеризация!L$1:L$25)</f>
        <v>0</v>
      </c>
      <c r="L29" s="288" t="n">
        <f aca="false">SUMIF(Фактеризация!$C$1:$C$25,$B29,Фактеризация!M$1:M$25)</f>
        <v>0</v>
      </c>
      <c r="M29" s="288" t="n">
        <f aca="false">SUMIF(Фактеризация!$C$1:$C$25,$B29,Фактеризация!N$1:N$25)</f>
        <v>0</v>
      </c>
      <c r="N29" s="288" t="n">
        <f aca="false">SUMIF(Фактеризация!$C$1:$C$25,$B29,Фактеризация!O$1:O$25)</f>
        <v>0</v>
      </c>
      <c r="O29" s="288" t="n">
        <f aca="false">SUMIF(Фактеризация!$C$1:$C$25,$B29,Фактеризация!P$1:P$25)</f>
        <v>0</v>
      </c>
      <c r="P29" s="288" t="n">
        <f aca="false">SUMIF(Фактеризация!$C$1:$C$25,$B29,Фактеризация!Q$1:Q$25)</f>
        <v>0</v>
      </c>
      <c r="Q29" s="288" t="n">
        <f aca="false">SUMIF(Фактеризация!$C$1:$C$25,$B29,Фактеризация!R$1:R$25)</f>
        <v>0</v>
      </c>
      <c r="R29" s="288" t="n">
        <f aca="false">SUMIF(Фактеризация!$C$1:$C$25,$B29,Фактеризация!S$1:S$25)</f>
        <v>0</v>
      </c>
      <c r="S29" s="288" t="n">
        <f aca="false">SUMIF(Фактеризация!$C$1:$C$25,$B29,Фактеризация!T$1:T$25)</f>
        <v>0</v>
      </c>
      <c r="T29" s="288" t="n">
        <f aca="false">SUMIF(Фактеризация!$C$1:$C$25,$B29,Фактеризация!U$1:U$25)</f>
        <v>0</v>
      </c>
      <c r="U29" s="288" t="n">
        <f aca="false">SUMIF(Фактеризация!$C$1:$C$25,$B29,Фактеризация!V$1:V$25)</f>
        <v>0</v>
      </c>
      <c r="V29" s="288" t="n">
        <f aca="false">SUMIF(Фактеризация!$C$1:$C$25,$B29,Фактеризация!W$1:W$25)</f>
        <v>0</v>
      </c>
      <c r="W29" s="288" t="n">
        <f aca="false">SUMIF(Фактеризация!$C$1:$C$25,$B29,Фактеризация!X$1:X$25)</f>
        <v>0</v>
      </c>
      <c r="X29" s="288" t="n">
        <f aca="false">SUMIF(Фактеризация!$C$1:$C$25,$B29,Фактеризация!Y$1:Y$25)</f>
        <v>0</v>
      </c>
      <c r="Y29" s="288" t="n">
        <f aca="false">SUMIF(Фактеризация!$C$1:$C$25,$B29,Фактеризация!Z$1:Z$25)</f>
        <v>0</v>
      </c>
      <c r="Z29" s="288" t="n">
        <f aca="false">SUMIF(Фактеризация!$C$1:$C$25,$B29,Фактеризация!AA$1:AA$25)</f>
        <v>0</v>
      </c>
      <c r="AA29" s="288" t="n">
        <f aca="false">SUMIF(Фактеризация!$C$1:$C$25,$B29,Фактеризация!AB$1:AB$25)</f>
        <v>0</v>
      </c>
      <c r="AB29" s="288" t="n">
        <f aca="false">SUMIF(Фактеризация!$C$1:$C$25,$B29,Фактеризация!AC$1:AC$25)</f>
        <v>0</v>
      </c>
      <c r="AC29" s="288" t="n">
        <f aca="false">SUMIF(Фактеризация!$C$1:$C$25,$B29,Фактеризация!AD$1:AD$25)</f>
        <v>0</v>
      </c>
      <c r="AD29" s="288" t="n">
        <f aca="false">SUMIF(Фактеризация!$C$1:$C$25,$B29,Фактеризация!AE$1:AE$25)</f>
        <v>0</v>
      </c>
      <c r="AE29" s="288" t="n">
        <f aca="false">SUMIF(Фактеризация!$C$1:$C$25,$B29,Фактеризация!AF$1:AF$25)</f>
        <v>0</v>
      </c>
      <c r="AF29" s="288" t="n">
        <f aca="false">SUMIF(Фактеризация!$C$1:$C$25,$B29,Фактеризация!AG$1:AG$25)</f>
        <v>0</v>
      </c>
      <c r="AG29" s="288" t="n">
        <f aca="false">SUMIF(Фактеризация!$C$1:$C$25,$B29,Фактеризация!AH$1:AH$25)</f>
        <v>0</v>
      </c>
      <c r="AH29" s="289" t="n">
        <f aca="false">SUMIF(Фактеризация!$C$1:$C$784,Служебный!B29,Фактеризация!$AI$1:$AI$784)</f>
        <v>0</v>
      </c>
      <c r="AI29" s="134" t="s">
        <v>137</v>
      </c>
    </row>
    <row r="30" customFormat="false" ht="24.95" hidden="false" customHeight="true" outlineLevel="0" collapsed="false">
      <c r="A30" s="286"/>
      <c r="B30" s="287" t="str">
        <f aca="false">Настройки!B10</f>
        <v>По рекомендации</v>
      </c>
      <c r="C30" s="288" t="n">
        <f aca="false">SUMIF(Фактеризация!$C$1:$C$25,$B30,Фактеризация!D$1:D$25)</f>
        <v>0</v>
      </c>
      <c r="D30" s="288" t="n">
        <f aca="false">SUMIF(Фактеризация!$C$1:$C$25,$B30,Фактеризация!E$1:E$25)</f>
        <v>0</v>
      </c>
      <c r="E30" s="288" t="n">
        <f aca="false">SUMIF(Фактеризация!$C$1:$C$25,$B30,Фактеризация!F$1:F$25)</f>
        <v>0</v>
      </c>
      <c r="F30" s="288" t="n">
        <f aca="false">SUMIF(Фактеризация!$C$1:$C$25,$B30,Фактеризация!G$1:G$25)</f>
        <v>0</v>
      </c>
      <c r="G30" s="288" t="n">
        <f aca="false">SUMIF(Фактеризация!$C$1:$C$25,$B30,Фактеризация!H$1:H$25)</f>
        <v>0</v>
      </c>
      <c r="H30" s="288" t="n">
        <f aca="false">SUMIF(Фактеризация!$C$1:$C$25,$B30,Фактеризация!I$1:I$25)</f>
        <v>0</v>
      </c>
      <c r="I30" s="288" t="n">
        <f aca="false">SUMIF(Фактеризация!$C$1:$C$25,$B30,Фактеризация!J$1:J$25)</f>
        <v>0</v>
      </c>
      <c r="J30" s="288" t="n">
        <f aca="false">SUMIF(Фактеризация!$C$1:$C$25,$B30,Фактеризация!K$1:K$25)</f>
        <v>0</v>
      </c>
      <c r="K30" s="288" t="n">
        <f aca="false">SUMIF(Фактеризация!$C$1:$C$25,$B30,Фактеризация!L$1:L$25)</f>
        <v>0</v>
      </c>
      <c r="L30" s="288" t="n">
        <f aca="false">SUMIF(Фактеризация!$C$1:$C$25,$B30,Фактеризация!M$1:M$25)</f>
        <v>0</v>
      </c>
      <c r="M30" s="288" t="n">
        <f aca="false">SUMIF(Фактеризация!$C$1:$C$25,$B30,Фактеризация!N$1:N$25)</f>
        <v>0</v>
      </c>
      <c r="N30" s="288" t="n">
        <f aca="false">SUMIF(Фактеризация!$C$1:$C$25,$B30,Фактеризация!O$1:O$25)</f>
        <v>0</v>
      </c>
      <c r="O30" s="288" t="n">
        <f aca="false">SUMIF(Фактеризация!$C$1:$C$25,$B30,Фактеризация!P$1:P$25)</f>
        <v>0</v>
      </c>
      <c r="P30" s="288" t="n">
        <f aca="false">SUMIF(Фактеризация!$C$1:$C$25,$B30,Фактеризация!Q$1:Q$25)</f>
        <v>0</v>
      </c>
      <c r="Q30" s="288" t="n">
        <f aca="false">SUMIF(Фактеризация!$C$1:$C$25,$B30,Фактеризация!R$1:R$25)</f>
        <v>0</v>
      </c>
      <c r="R30" s="288" t="n">
        <f aca="false">SUMIF(Фактеризация!$C$1:$C$25,$B30,Фактеризация!S$1:S$25)</f>
        <v>0</v>
      </c>
      <c r="S30" s="288" t="n">
        <f aca="false">SUMIF(Фактеризация!$C$1:$C$25,$B30,Фактеризация!T$1:T$25)</f>
        <v>0</v>
      </c>
      <c r="T30" s="288" t="n">
        <f aca="false">SUMIF(Фактеризация!$C$1:$C$25,$B30,Фактеризация!U$1:U$25)</f>
        <v>0</v>
      </c>
      <c r="U30" s="288" t="n">
        <f aca="false">SUMIF(Фактеризация!$C$1:$C$25,$B30,Фактеризация!V$1:V$25)</f>
        <v>0</v>
      </c>
      <c r="V30" s="288" t="n">
        <f aca="false">SUMIF(Фактеризация!$C$1:$C$25,$B30,Фактеризация!W$1:W$25)</f>
        <v>0</v>
      </c>
      <c r="W30" s="288" t="n">
        <f aca="false">SUMIF(Фактеризация!$C$1:$C$25,$B30,Фактеризация!X$1:X$25)</f>
        <v>0</v>
      </c>
      <c r="X30" s="288" t="n">
        <f aca="false">SUMIF(Фактеризация!$C$1:$C$25,$B30,Фактеризация!Y$1:Y$25)</f>
        <v>0</v>
      </c>
      <c r="Y30" s="288" t="n">
        <f aca="false">SUMIF(Фактеризация!$C$1:$C$25,$B30,Фактеризация!Z$1:Z$25)</f>
        <v>0</v>
      </c>
      <c r="Z30" s="288" t="n">
        <f aca="false">SUMIF(Фактеризация!$C$1:$C$25,$B30,Фактеризация!AA$1:AA$25)</f>
        <v>0</v>
      </c>
      <c r="AA30" s="288" t="n">
        <f aca="false">SUMIF(Фактеризация!$C$1:$C$25,$B30,Фактеризация!AB$1:AB$25)</f>
        <v>0</v>
      </c>
      <c r="AB30" s="288" t="n">
        <f aca="false">SUMIF(Фактеризация!$C$1:$C$25,$B30,Фактеризация!AC$1:AC$25)</f>
        <v>0</v>
      </c>
      <c r="AC30" s="288" t="n">
        <f aca="false">SUMIF(Фактеризация!$C$1:$C$25,$B30,Фактеризация!AD$1:AD$25)</f>
        <v>0</v>
      </c>
      <c r="AD30" s="288" t="n">
        <f aca="false">SUMIF(Фактеризация!$C$1:$C$25,$B30,Фактеризация!AE$1:AE$25)</f>
        <v>0</v>
      </c>
      <c r="AE30" s="288" t="n">
        <f aca="false">SUMIF(Фактеризация!$C$1:$C$25,$B30,Фактеризация!AF$1:AF$25)</f>
        <v>0</v>
      </c>
      <c r="AF30" s="288" t="n">
        <f aca="false">SUMIF(Фактеризация!$C$1:$C$25,$B30,Фактеризация!AG$1:AG$25)</f>
        <v>0</v>
      </c>
      <c r="AG30" s="288" t="n">
        <f aca="false">SUMIF(Фактеризация!$C$1:$C$25,$B30,Фактеризация!AH$1:AH$25)</f>
        <v>0</v>
      </c>
      <c r="AH30" s="289" t="n">
        <f aca="false">SUMIF(Фактеризация!$C$1:$C$784,Служебный!B30,Фактеризация!$AI$1:$AI$784)</f>
        <v>0</v>
      </c>
      <c r="AI30" s="134" t="s">
        <v>137</v>
      </c>
    </row>
    <row r="31" customFormat="false" ht="24.95" hidden="false" customHeight="true" outlineLevel="0" collapsed="false">
      <c r="A31" s="286"/>
      <c r="B31" s="287" t="str">
        <f aca="false">Настройки!B11</f>
        <v>Постоянные клиенты</v>
      </c>
      <c r="C31" s="288" t="n">
        <f aca="false">SUMIF(Фактеризация!$C$1:$C$25,$B31,Фактеризация!D$1:D$25)</f>
        <v>0</v>
      </c>
      <c r="D31" s="288" t="n">
        <f aca="false">SUMIF(Фактеризация!$C$1:$C$25,$B31,Фактеризация!E$1:E$25)</f>
        <v>0</v>
      </c>
      <c r="E31" s="288" t="n">
        <f aca="false">SUMIF(Фактеризация!$C$1:$C$25,$B31,Фактеризация!F$1:F$25)</f>
        <v>0</v>
      </c>
      <c r="F31" s="288" t="n">
        <f aca="false">SUMIF(Фактеризация!$C$1:$C$25,$B31,Фактеризация!G$1:G$25)</f>
        <v>0</v>
      </c>
      <c r="G31" s="288" t="n">
        <f aca="false">SUMIF(Фактеризация!$C$1:$C$25,$B31,Фактеризация!H$1:H$25)</f>
        <v>0</v>
      </c>
      <c r="H31" s="288" t="n">
        <f aca="false">SUMIF(Фактеризация!$C$1:$C$25,$B31,Фактеризация!I$1:I$25)</f>
        <v>0</v>
      </c>
      <c r="I31" s="288" t="n">
        <f aca="false">SUMIF(Фактеризация!$C$1:$C$25,$B31,Фактеризация!J$1:J$25)</f>
        <v>0</v>
      </c>
      <c r="J31" s="288" t="n">
        <f aca="false">SUMIF(Фактеризация!$C$1:$C$25,$B31,Фактеризация!K$1:K$25)</f>
        <v>0</v>
      </c>
      <c r="K31" s="288" t="n">
        <f aca="false">SUMIF(Фактеризация!$C$1:$C$25,$B31,Фактеризация!L$1:L$25)</f>
        <v>0</v>
      </c>
      <c r="L31" s="288" t="n">
        <f aca="false">SUMIF(Фактеризация!$C$1:$C$25,$B31,Фактеризация!M$1:M$25)</f>
        <v>0</v>
      </c>
      <c r="M31" s="288" t="n">
        <f aca="false">SUMIF(Фактеризация!$C$1:$C$25,$B31,Фактеризация!N$1:N$25)</f>
        <v>0</v>
      </c>
      <c r="N31" s="288" t="n">
        <f aca="false">SUMIF(Фактеризация!$C$1:$C$25,$B31,Фактеризация!O$1:O$25)</f>
        <v>0</v>
      </c>
      <c r="O31" s="288" t="n">
        <f aca="false">SUMIF(Фактеризация!$C$1:$C$25,$B31,Фактеризация!P$1:P$25)</f>
        <v>0</v>
      </c>
      <c r="P31" s="288" t="n">
        <f aca="false">SUMIF(Фактеризация!$C$1:$C$25,$B31,Фактеризация!Q$1:Q$25)</f>
        <v>0</v>
      </c>
      <c r="Q31" s="288" t="n">
        <f aca="false">SUMIF(Фактеризация!$C$1:$C$25,$B31,Фактеризация!R$1:R$25)</f>
        <v>0</v>
      </c>
      <c r="R31" s="288" t="n">
        <f aca="false">SUMIF(Фактеризация!$C$1:$C$25,$B31,Фактеризация!S$1:S$25)</f>
        <v>0</v>
      </c>
      <c r="S31" s="288" t="n">
        <f aca="false">SUMIF(Фактеризация!$C$1:$C$25,$B31,Фактеризация!T$1:T$25)</f>
        <v>0</v>
      </c>
      <c r="T31" s="288" t="n">
        <f aca="false">SUMIF(Фактеризация!$C$1:$C$25,$B31,Фактеризация!U$1:U$25)</f>
        <v>0</v>
      </c>
      <c r="U31" s="288" t="n">
        <f aca="false">SUMIF(Фактеризация!$C$1:$C$25,$B31,Фактеризация!V$1:V$25)</f>
        <v>0</v>
      </c>
      <c r="V31" s="288" t="n">
        <f aca="false">SUMIF(Фактеризация!$C$1:$C$25,$B31,Фактеризация!W$1:W$25)</f>
        <v>0</v>
      </c>
      <c r="W31" s="288" t="n">
        <f aca="false">SUMIF(Фактеризация!$C$1:$C$25,$B31,Фактеризация!X$1:X$25)</f>
        <v>0</v>
      </c>
      <c r="X31" s="288" t="n">
        <f aca="false">SUMIF(Фактеризация!$C$1:$C$25,$B31,Фактеризация!Y$1:Y$25)</f>
        <v>0</v>
      </c>
      <c r="Y31" s="288" t="n">
        <f aca="false">SUMIF(Фактеризация!$C$1:$C$25,$B31,Фактеризация!Z$1:Z$25)</f>
        <v>0</v>
      </c>
      <c r="Z31" s="288" t="n">
        <f aca="false">SUMIF(Фактеризация!$C$1:$C$25,$B31,Фактеризация!AA$1:AA$25)</f>
        <v>0</v>
      </c>
      <c r="AA31" s="288" t="n">
        <f aca="false">SUMIF(Фактеризация!$C$1:$C$25,$B31,Фактеризация!AB$1:AB$25)</f>
        <v>0</v>
      </c>
      <c r="AB31" s="288" t="n">
        <f aca="false">SUMIF(Фактеризация!$C$1:$C$25,$B31,Фактеризация!AC$1:AC$25)</f>
        <v>0</v>
      </c>
      <c r="AC31" s="288" t="n">
        <f aca="false">SUMIF(Фактеризация!$C$1:$C$25,$B31,Фактеризация!AD$1:AD$25)</f>
        <v>0</v>
      </c>
      <c r="AD31" s="288" t="n">
        <f aca="false">SUMIF(Фактеризация!$C$1:$C$25,$B31,Фактеризация!AE$1:AE$25)</f>
        <v>0</v>
      </c>
      <c r="AE31" s="288" t="n">
        <f aca="false">SUMIF(Фактеризация!$C$1:$C$25,$B31,Фактеризация!AF$1:AF$25)</f>
        <v>0</v>
      </c>
      <c r="AF31" s="288" t="n">
        <f aca="false">SUMIF(Фактеризация!$C$1:$C$25,$B31,Фактеризация!AG$1:AG$25)</f>
        <v>0</v>
      </c>
      <c r="AG31" s="288" t="n">
        <f aca="false">SUMIF(Фактеризация!$C$1:$C$25,$B31,Фактеризация!AH$1:AH$25)</f>
        <v>0</v>
      </c>
      <c r="AH31" s="289" t="n">
        <f aca="false">SUMIF(Фактеризация!$C$1:$C$784,Служебный!B31,Фактеризация!$AI$1:$AI$784)</f>
        <v>0</v>
      </c>
      <c r="AI31" s="134" t="s">
        <v>137</v>
      </c>
    </row>
    <row r="32" customFormat="false" ht="24.95" hidden="false" customHeight="true" outlineLevel="0" collapsed="false">
      <c r="A32" s="286"/>
      <c r="B32" s="287" t="s">
        <v>138</v>
      </c>
      <c r="C32" s="288" t="n">
        <f aca="false">SUM(C25:C31)</f>
        <v>0</v>
      </c>
      <c r="D32" s="288" t="n">
        <f aca="false">SUM(D25:D31)</f>
        <v>0</v>
      </c>
      <c r="E32" s="288" t="n">
        <f aca="false">SUM(E25:E31)</f>
        <v>0</v>
      </c>
      <c r="F32" s="288" t="n">
        <f aca="false">SUM(F25:F31)</f>
        <v>0</v>
      </c>
      <c r="G32" s="288" t="n">
        <f aca="false">SUM(G25:G31)</f>
        <v>0</v>
      </c>
      <c r="H32" s="288" t="n">
        <f aca="false">SUM(H25:H31)</f>
        <v>0</v>
      </c>
      <c r="I32" s="288" t="n">
        <f aca="false">SUM(I25:I31)</f>
        <v>0</v>
      </c>
      <c r="J32" s="288" t="n">
        <f aca="false">SUM(J25:J31)</f>
        <v>0</v>
      </c>
      <c r="K32" s="288" t="n">
        <f aca="false">SUM(K25:K31)</f>
        <v>0</v>
      </c>
      <c r="L32" s="288" t="n">
        <f aca="false">SUM(L25:L31)</f>
        <v>0</v>
      </c>
      <c r="M32" s="288" t="n">
        <f aca="false">SUM(M25:M31)</f>
        <v>0</v>
      </c>
      <c r="N32" s="288" t="n">
        <f aca="false">SUM(N25:N31)</f>
        <v>0</v>
      </c>
      <c r="O32" s="288" t="n">
        <f aca="false">SUM(O25:O31)</f>
        <v>0</v>
      </c>
      <c r="P32" s="288" t="n">
        <f aca="false">SUM(P25:P31)</f>
        <v>0</v>
      </c>
      <c r="Q32" s="288" t="n">
        <f aca="false">SUM(Q25:Q31)</f>
        <v>0</v>
      </c>
      <c r="R32" s="288" t="n">
        <f aca="false">SUM(R25:R31)</f>
        <v>0</v>
      </c>
      <c r="S32" s="288" t="n">
        <f aca="false">SUM(S25:S31)</f>
        <v>0</v>
      </c>
      <c r="T32" s="288" t="n">
        <f aca="false">SUM(T25:T31)</f>
        <v>0</v>
      </c>
      <c r="U32" s="288" t="n">
        <f aca="false">SUM(U25:U31)</f>
        <v>0</v>
      </c>
      <c r="V32" s="288" t="n">
        <f aca="false">SUM(V25:V31)</f>
        <v>0</v>
      </c>
      <c r="W32" s="288" t="n">
        <f aca="false">SUM(W25:W31)</f>
        <v>0</v>
      </c>
      <c r="X32" s="288" t="n">
        <f aca="false">SUM(X25:X31)</f>
        <v>0</v>
      </c>
      <c r="Y32" s="288" t="n">
        <f aca="false">SUM(Y25:Y31)</f>
        <v>0</v>
      </c>
      <c r="Z32" s="288" t="n">
        <f aca="false">SUM(Z25:Z31)</f>
        <v>0</v>
      </c>
      <c r="AA32" s="288" t="n">
        <f aca="false">SUM(AA25:AA31)</f>
        <v>0</v>
      </c>
      <c r="AB32" s="288" t="n">
        <f aca="false">SUM(AB25:AB31)</f>
        <v>0</v>
      </c>
      <c r="AC32" s="288" t="n">
        <f aca="false">SUM(AC25:AC31)</f>
        <v>0</v>
      </c>
      <c r="AD32" s="288" t="n">
        <f aca="false">SUM(AD25:AD31)</f>
        <v>0</v>
      </c>
      <c r="AE32" s="288" t="n">
        <f aca="false">SUM(AE25:AE31)</f>
        <v>0</v>
      </c>
      <c r="AF32" s="288" t="n">
        <f aca="false">SUM(AF25:AF31)</f>
        <v>0</v>
      </c>
      <c r="AG32" s="288" t="n">
        <f aca="false">SUM(AG25:AG31)</f>
        <v>0</v>
      </c>
      <c r="AH32" s="289" t="n">
        <f aca="false">SUM(AH25:AH31)</f>
        <v>0</v>
      </c>
      <c r="AI32" s="134" t="s">
        <v>137</v>
      </c>
    </row>
  </sheetData>
  <mergeCells count="1">
    <mergeCell ref="A13:A32"/>
  </mergeCells>
  <conditionalFormatting sqref="K23:AG23 K25:AG32 K14:AG18 K20:AD20">
    <cfRule type="expression" priority="2" aboveAverage="0" equalAverage="0" bottom="0" percent="0" rank="0" text="" dxfId="132">
      <formula>дни_1&lt;L$5</formula>
    </cfRule>
  </conditionalFormatting>
  <conditionalFormatting sqref="AE20:AG20">
    <cfRule type="expression" priority="3" aboveAverage="0" equalAverage="0" bottom="0" percent="0" rank="0" text="" dxfId="133">
      <formula>дни_1&lt;AF$5</formula>
    </cfRule>
  </conditionalFormatting>
  <conditionalFormatting sqref="D13:AG13 C13:C20 D19:AG19 C23:C32">
    <cfRule type="expression" priority="4" aboveAverage="0" equalAverage="0" bottom="0" percent="0" rank="0" text="" dxfId="134">
      <formula>дни_1&lt;#ref!</formula>
    </cfRule>
  </conditionalFormatting>
  <conditionalFormatting sqref="D14:D18 D20 D23:D32 E24:AG24">
    <cfRule type="expression" priority="5" aboveAverage="0" equalAverage="0" bottom="0" percent="0" rank="0" text="" dxfId="135">
      <formula>дни_1&lt;E$4</formula>
    </cfRule>
  </conditionalFormatting>
  <conditionalFormatting sqref="E14:E18 E20 E23 E25:E32">
    <cfRule type="expression" priority="6" aboveAverage="0" equalAverage="0" bottom="0" percent="0" rank="0" text="" dxfId="136">
      <formula>дни_1&lt;E$5</formula>
    </cfRule>
  </conditionalFormatting>
  <conditionalFormatting sqref="F14:F18 F20 F23 F25:F32">
    <cfRule type="expression" priority="7" aboveAverage="0" equalAverage="0" bottom="0" percent="0" rank="0" text="" dxfId="137">
      <formula>дни_1&lt;E$6</formula>
    </cfRule>
  </conditionalFormatting>
  <conditionalFormatting sqref="H14:H18 H20 H23 H25:H32">
    <cfRule type="expression" priority="8" aboveAverage="0" equalAverage="0" bottom="0" percent="0" rank="0" text="" dxfId="138">
      <formula>дни_1&lt;H$4</formula>
    </cfRule>
  </conditionalFormatting>
  <conditionalFormatting sqref="I14:I18 I20 I23 I25:I32">
    <cfRule type="expression" priority="9" aboveAverage="0" equalAverage="0" bottom="0" percent="0" rank="0" text="" dxfId="139">
      <formula>дни_1&lt;H$5</formula>
    </cfRule>
  </conditionalFormatting>
  <conditionalFormatting sqref="G14:G18 G20 G23 G25:G32">
    <cfRule type="expression" priority="10" aboveAverage="0" equalAverage="0" bottom="0" percent="0" rank="0" text="" dxfId="140">
      <formula>дни_1&lt;#ref!</formula>
    </cfRule>
  </conditionalFormatting>
  <conditionalFormatting sqref="J14:J18 J20 J23 J25:J32">
    <cfRule type="expression" priority="11" aboveAverage="0" equalAverage="0" bottom="0" percent="0" rank="0" text="" dxfId="141">
      <formula>дни_1&lt;H$6</formula>
    </cfRule>
  </conditionalFormatting>
  <conditionalFormatting sqref="K21:AG22">
    <cfRule type="expression" priority="12" aboveAverage="0" equalAverage="0" bottom="0" percent="0" rank="0" text="" dxfId="142">
      <formula>дни_1&lt;L$5</formula>
    </cfRule>
  </conditionalFormatting>
  <conditionalFormatting sqref="C21:C22">
    <cfRule type="expression" priority="13" aboveAverage="0" equalAverage="0" bottom="0" percent="0" rank="0" text="" dxfId="143">
      <formula>дни_1&lt;#ref!</formula>
    </cfRule>
  </conditionalFormatting>
  <conditionalFormatting sqref="D21:D22">
    <cfRule type="expression" priority="14" aboveAverage="0" equalAverage="0" bottom="0" percent="0" rank="0" text="" dxfId="144">
      <formula>дни_1&lt;E$4</formula>
    </cfRule>
  </conditionalFormatting>
  <conditionalFormatting sqref="E21:E22">
    <cfRule type="expression" priority="15" aboveAverage="0" equalAverage="0" bottom="0" percent="0" rank="0" text="" dxfId="145">
      <formula>дни_1&lt;E$5</formula>
    </cfRule>
  </conditionalFormatting>
  <conditionalFormatting sqref="F21:F22">
    <cfRule type="expression" priority="16" aboveAverage="0" equalAverage="0" bottom="0" percent="0" rank="0" text="" dxfId="146">
      <formula>дни_1&lt;E$6</formula>
    </cfRule>
  </conditionalFormatting>
  <conditionalFormatting sqref="H21:H22">
    <cfRule type="expression" priority="17" aboveAverage="0" equalAverage="0" bottom="0" percent="0" rank="0" text="" dxfId="147">
      <formula>дни_1&lt;H$4</formula>
    </cfRule>
  </conditionalFormatting>
  <conditionalFormatting sqref="I21:I22">
    <cfRule type="expression" priority="18" aboveAverage="0" equalAverage="0" bottom="0" percent="0" rank="0" text="" dxfId="148">
      <formula>дни_1&lt;H$5</formula>
    </cfRule>
  </conditionalFormatting>
  <conditionalFormatting sqref="G21:G22">
    <cfRule type="expression" priority="19" aboveAverage="0" equalAverage="0" bottom="0" percent="0" rank="0" text="" dxfId="149">
      <formula>дни_1&lt;#ref!</formula>
    </cfRule>
  </conditionalFormatting>
  <conditionalFormatting sqref="J21:J22">
    <cfRule type="expression" priority="20" aboveAverage="0" equalAverage="0" bottom="0" percent="0" rank="0" text="" dxfId="150">
      <formula>дни_1&lt;H$6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2017-10-10T09:50:17Z</dcterms:created>
  <dc:creator>Пользователь Microsoft Office</dc:creator>
  <dc:description/>
  <dc:language>ru-RU</dc:language>
  <cp:lastModifiedBy>Наталья Н</cp:lastModifiedBy>
  <dcterms:modified xsi:type="dcterms:W3CDTF">2019-08-22T18:19:18Z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6f37005f-bc95-4799-adfb-8ce5258f553e</vt:lpwstr>
  </property>
</Properties>
</file>