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525" windowWidth="20730" windowHeight="11700" activeTab="1"/>
  </bookViews>
  <sheets>
    <sheet name="Менеджеры" sheetId="4" r:id="rId1"/>
    <sheet name="Агентство" sheetId="2" r:id="rId2"/>
    <sheet name="Фактеризация" sheetId="5" r:id="rId3"/>
    <sheet name="Зарплата" sheetId="6" r:id="rId4"/>
    <sheet name="Настройки" sheetId="3" r:id="rId5"/>
    <sheet name="Служебный" sheetId="8" state="hidden" r:id="rId6"/>
  </sheets>
  <definedNames>
    <definedName name="current_month">Зарплата!$C$2</definedName>
    <definedName name="CurrentMonthDays">Настройки!$G$16</definedName>
    <definedName name="CurrentMonthRod">Настройки!$G$17</definedName>
    <definedName name="firstDayCurrentMonth">Настройки!$G$18</definedName>
    <definedName name="lastDayCurrentMonth">Настройки!$G$19</definedName>
    <definedName name="planYear">Настройки!$I$18</definedName>
    <definedName name="БонусДопы1">Настройки!$I$5</definedName>
    <definedName name="БонусДопы2">Настройки!$I$6</definedName>
    <definedName name="БонусДопы3">Настройки!$I$7</definedName>
    <definedName name="БонусДопы4">Настройки!$I$8</definedName>
    <definedName name="БонусДопы5">Настройки!$I$9</definedName>
    <definedName name="БонусДопы6">Настройки!$I$10</definedName>
    <definedName name="БонусДопы7">Настройки!$I$11</definedName>
    <definedName name="БонусТуры1">Настройки!$F$5</definedName>
    <definedName name="БонусТуры2">Настройки!$F$6</definedName>
    <definedName name="БонусТуры3">Настройки!$F$7</definedName>
    <definedName name="БонусТуры4">Настройки!$F$8</definedName>
    <definedName name="БонусТуры5">Настройки!$F$9</definedName>
    <definedName name="БонусТуры6">Настройки!$F$10</definedName>
    <definedName name="БонусТуры7">Настройки!$F$11</definedName>
    <definedName name="БонусыДопыВсе1">Зарплата!$E$13:$K$13</definedName>
    <definedName name="БонусыДопыВсе10">Зарплата!#REF!</definedName>
    <definedName name="БонусыДопыВсе11">Зарплата!#REF!</definedName>
    <definedName name="БонусыДопыВсе12">Зарплата!#REF!</definedName>
    <definedName name="БонусыДопыВсе13">Зарплата!#REF!</definedName>
    <definedName name="БонусыДопыВсе14">Зарплата!#REF!</definedName>
    <definedName name="БонусыДопыВсе15">Зарплата!#REF!</definedName>
    <definedName name="БонусыДопыВсе16">Зарплата!#REF!</definedName>
    <definedName name="БонусыДопыВсе17">Зарплата!#REF!</definedName>
    <definedName name="БонусыДопыВсе18">Зарплата!#REF!</definedName>
    <definedName name="БонусыДопыВсе19">Зарплата!#REF!</definedName>
    <definedName name="БонусыДопыВсе2">Зарплата!$E$35:$K$35</definedName>
    <definedName name="БонусыДопыВсе20">Зарплата!#REF!</definedName>
    <definedName name="БонусыДопыВсе3">Зарплата!#REF!</definedName>
    <definedName name="БонусыДопыВсе4">Зарплата!#REF!</definedName>
    <definedName name="БонусыДопыВсе5">Зарплата!#REF!</definedName>
    <definedName name="БонусыДопыВсе6">Зарплата!#REF!</definedName>
    <definedName name="БонусыДопыВсе7">Зарплата!#REF!</definedName>
    <definedName name="БонусыДопыВсе8">Зарплата!#REF!</definedName>
    <definedName name="БонусыДопыВсе9">Зарплата!#REF!</definedName>
    <definedName name="БонусыТурыВсе1">Зарплата!$E$10:$K$10</definedName>
    <definedName name="БонусыТурыВсе10">Зарплата!#REF!</definedName>
    <definedName name="БонусыТурыВсе11">Зарплата!#REF!</definedName>
    <definedName name="БонусыТурыВсе12">Зарплата!#REF!</definedName>
    <definedName name="БонусыТурыВсе13">Зарплата!#REF!</definedName>
    <definedName name="БонусыТурыВсе14">Зарплата!#REF!</definedName>
    <definedName name="БонусыТурыВсе15">Зарплата!#REF!</definedName>
    <definedName name="БонусыТурыВсе16">Зарплата!#REF!</definedName>
    <definedName name="БонусыТурыВсе17">Зарплата!#REF!</definedName>
    <definedName name="БонусыТурыВсе18">Зарплата!#REF!</definedName>
    <definedName name="БонусыТурыВсе19">Зарплата!#REF!</definedName>
    <definedName name="БонусыТурыВсе2">Зарплата!$E$32:$K$32</definedName>
    <definedName name="БонусыТурыВсе20">Зарплата!#REF!</definedName>
    <definedName name="БонусыТурыВсе3">Зарплата!#REF!</definedName>
    <definedName name="БонусыТурыВсе4">Зарплата!#REF!</definedName>
    <definedName name="БонусыТурыВсе5">Зарплата!#REF!</definedName>
    <definedName name="БонусыТурыВсе6">Зарплата!#REF!</definedName>
    <definedName name="БонусыТурыВсе7">Зарплата!#REF!</definedName>
    <definedName name="БонусыТурыВсе8">Зарплата!#REF!</definedName>
    <definedName name="БонусыТурыВсе9">Зарплата!#REF!</definedName>
    <definedName name="ЗарплатаДопыВсе1">Зарплата!$E$12:$K$12</definedName>
    <definedName name="ЗарплатаДопыВсе10">Зарплата!#REF!</definedName>
    <definedName name="ЗарплатаДопыВсе11">Зарплата!#REF!</definedName>
    <definedName name="ЗарплатаДопыВсе12">Зарплата!#REF!</definedName>
    <definedName name="ЗарплатаДопыВсе13">Зарплата!#REF!</definedName>
    <definedName name="ЗарплатаДопыВсе14">Зарплата!#REF!</definedName>
    <definedName name="ЗарплатаДопыВсе15">Зарплата!#REF!</definedName>
    <definedName name="ЗарплатаДопыВсе16">Зарплата!#REF!</definedName>
    <definedName name="ЗарплатаДопыВсе17">Зарплата!#REF!</definedName>
    <definedName name="ЗарплатаДопыВсе18">Зарплата!#REF!</definedName>
    <definedName name="ЗарплатаДопыВсе19">Зарплата!#REF!</definedName>
    <definedName name="ЗарплатаДопыВсе2">Зарплата!$E$34:$K$34</definedName>
    <definedName name="ЗарплатаДопыВсе20">Зарплата!#REF!</definedName>
    <definedName name="ЗарплатаДопыВсе3">Зарплата!#REF!</definedName>
    <definedName name="ЗарплатаДопыВсе4">Зарплата!#REF!</definedName>
    <definedName name="ЗарплатаДопыВсе5">Зарплата!#REF!</definedName>
    <definedName name="ЗарплатаДопыВсе6">Зарплата!#REF!</definedName>
    <definedName name="ЗарплатаДопыВсе7">Зарплата!#REF!</definedName>
    <definedName name="ЗарплатаДопыВсе8">Зарплата!#REF!</definedName>
    <definedName name="ЗарплатаДопыВсе9">Зарплата!#REF!</definedName>
    <definedName name="ЗарплатаДопыМега1">Зарплата!$K$12</definedName>
    <definedName name="ЗарплатаДопыМега10">Зарплата!#REF!</definedName>
    <definedName name="ЗарплатаДопыМега11">Зарплата!#REF!</definedName>
    <definedName name="ЗарплатаДопыМега12">Зарплата!#REF!</definedName>
    <definedName name="ЗарплатаДопыМега13">Зарплата!#REF!</definedName>
    <definedName name="ЗарплатаДопыМега14">Зарплата!#REF!</definedName>
    <definedName name="ЗарплатаДопыМега15">Зарплата!#REF!</definedName>
    <definedName name="ЗарплатаДопыМега16">Зарплата!#REF!</definedName>
    <definedName name="ЗарплатаДопыМега17">Зарплата!#REF!</definedName>
    <definedName name="ЗарплатаДопыМега18">Зарплата!#REF!</definedName>
    <definedName name="ЗарплатаДопыМега19">Зарплата!#REF!</definedName>
    <definedName name="ЗарплатаДопыМега2">Зарплата!$K$34</definedName>
    <definedName name="ЗарплатаДопыМега20">Зарплата!#REF!</definedName>
    <definedName name="ЗарплатаДопыМега3">Зарплата!#REF!</definedName>
    <definedName name="ЗарплатаДопыМега4">Зарплата!#REF!</definedName>
    <definedName name="ЗарплатаДопыМега5">Зарплата!#REF!</definedName>
    <definedName name="ЗарплатаДопыМега6">Зарплата!#REF!</definedName>
    <definedName name="ЗарплатаДопыМега7">Зарплата!#REF!</definedName>
    <definedName name="ЗарплатаДопыМега8">Зарплата!#REF!</definedName>
    <definedName name="ЗарплатаДопыМега9">Зарплата!#REF!</definedName>
    <definedName name="ЗарплатаДопыМенеджер1">Зарплата!$O$12</definedName>
    <definedName name="ЗарплатаДопыМенеджер10">Зарплата!#REF!</definedName>
    <definedName name="ЗарплатаДопыМенеджер11">Зарплата!#REF!</definedName>
    <definedName name="ЗарплатаДопыМенеджер12">Зарплата!#REF!</definedName>
    <definedName name="ЗарплатаДопыМенеджер13">Зарплата!#REF!</definedName>
    <definedName name="ЗарплатаДопыМенеджер14">Зарплата!#REF!</definedName>
    <definedName name="ЗарплатаДопыМенеджер15">Зарплата!#REF!</definedName>
    <definedName name="ЗарплатаДопыМенеджер16">Зарплата!#REF!</definedName>
    <definedName name="ЗарплатаДопыМенеджер17">Зарплата!#REF!</definedName>
    <definedName name="ЗарплатаДопыМенеджер18">Зарплата!#REF!</definedName>
    <definedName name="ЗарплатаДопыМенеджер19">Зарплата!#REF!</definedName>
    <definedName name="ЗарплатаДопыМенеджер2">Зарплата!$O$34</definedName>
    <definedName name="ЗарплатаДопыМенеджер20">Зарплата!#REF!</definedName>
    <definedName name="ЗарплатаДопыМенеджер3">Зарплата!#REF!</definedName>
    <definedName name="ЗарплатаДопыМенеджер4">Зарплата!#REF!</definedName>
    <definedName name="ЗарплатаДопыМенеджер5">Зарплата!#REF!</definedName>
    <definedName name="ЗарплатаДопыМенеджер6">Зарплата!#REF!</definedName>
    <definedName name="ЗарплатаДопыМенеджер7">Зарплата!#REF!</definedName>
    <definedName name="ЗарплатаДопыМенеджер8">Зарплата!#REF!</definedName>
    <definedName name="ЗарплатаДопыМенеджер9">Зарплата!#REF!</definedName>
    <definedName name="ЗарплатаИзМенеджер1">Зарплата!$O$15:$O$24</definedName>
    <definedName name="ЗарплатаИзМенеджер10">Зарплата!#REF!</definedName>
    <definedName name="ЗарплатаИзМенеджер11">Зарплата!#REF!</definedName>
    <definedName name="ЗарплатаИзМенеджер12">Зарплата!#REF!</definedName>
    <definedName name="ЗарплатаИзМенеджер13">Зарплата!#REF!</definedName>
    <definedName name="ЗарплатаИзМенеджер14">Зарплата!#REF!</definedName>
    <definedName name="ЗарплатаИзМенеджер15">Зарплата!#REF!</definedName>
    <definedName name="ЗарплатаИзМенеджер16">Зарплата!#REF!</definedName>
    <definedName name="ЗарплатаИзМенеджер17">Зарплата!#REF!</definedName>
    <definedName name="ЗарплатаИзМенеджер18">Зарплата!#REF!</definedName>
    <definedName name="ЗарплатаИзМенеджер19">Зарплата!#REF!</definedName>
    <definedName name="ЗарплатаИзМенеджер2">Зарплата!$O$37:$O$46</definedName>
    <definedName name="ЗарплатаИзМенеджер20">Зарплата!#REF!</definedName>
    <definedName name="ЗарплатаИзМенеджер3">Зарплата!#REF!</definedName>
    <definedName name="ЗарплатаИзМенеджер4">Зарплата!#REF!</definedName>
    <definedName name="ЗарплатаИзМенеджер5">Зарплата!#REF!</definedName>
    <definedName name="ЗарплатаИзМенеджер6">Зарплата!#REF!</definedName>
    <definedName name="ЗарплатаИзМенеджер7">Зарплата!#REF!</definedName>
    <definedName name="ЗарплатаИзМенеджер8">Зарплата!#REF!</definedName>
    <definedName name="ЗарплатаИзМенеджер9">Зарплата!#REF!</definedName>
    <definedName name="ЗарплатаКармаМенеджер1">Зарплата!$S$25</definedName>
    <definedName name="ЗарплатаКармаМенеджер10">Зарплата!#REF!</definedName>
    <definedName name="ЗарплатаКармаМенеджер11">Зарплата!#REF!</definedName>
    <definedName name="ЗарплатаКармаМенеджер12">Зарплата!#REF!</definedName>
    <definedName name="ЗарплатаКармаМенеджер13">Зарплата!#REF!</definedName>
    <definedName name="ЗарплатаКармаМенеджер14">Зарплата!#REF!</definedName>
    <definedName name="ЗарплатаКармаМенеджер15">Зарплата!#REF!</definedName>
    <definedName name="ЗарплатаКармаМенеджер16">Зарплата!#REF!</definedName>
    <definedName name="ЗарплатаКармаМенеджер17">Зарплата!#REF!</definedName>
    <definedName name="ЗарплатаКармаМенеджер18">Зарплата!#REF!</definedName>
    <definedName name="ЗарплатаКармаМенеджер19">Зарплата!#REF!</definedName>
    <definedName name="ЗарплатаКармаМенеджер2">Зарплата!$S$47</definedName>
    <definedName name="ЗарплатаКармаМенеджер20">Зарплата!#REF!</definedName>
    <definedName name="ЗарплатаКармаМенеджер3">Зарплата!#REF!</definedName>
    <definedName name="ЗарплатаКармаМенеджер4">Зарплата!#REF!</definedName>
    <definedName name="ЗарплатаКармаМенеджер5">Зарплата!#REF!</definedName>
    <definedName name="ЗарплатаКармаМенеджер6">Зарплата!#REF!</definedName>
    <definedName name="ЗарплатаКармаМенеджер7">Зарплата!#REF!</definedName>
    <definedName name="ЗарплатаКармаМенеджер8">Зарплата!#REF!</definedName>
    <definedName name="ЗарплатаКармаМенеджер9">Зарплата!#REF!</definedName>
    <definedName name="ЗарплатаОкладМенеджер1">Зарплата!$J$25</definedName>
    <definedName name="ЗарплатаОкладМенеджер10">Зарплата!#REF!</definedName>
    <definedName name="ЗарплатаОкладМенеджер11">Зарплата!#REF!</definedName>
    <definedName name="ЗарплатаОкладМенеджер12">Зарплата!#REF!</definedName>
    <definedName name="ЗарплатаОкладМенеджер13">Зарплата!#REF!</definedName>
    <definedName name="ЗарплатаОкладМенеджер14">Зарплата!#REF!</definedName>
    <definedName name="ЗарплатаОкладМенеджер15">Зарплата!#REF!</definedName>
    <definedName name="ЗарплатаОкладМенеджер16">Зарплата!#REF!</definedName>
    <definedName name="ЗарплатаОкладМенеджер17">Зарплата!#REF!</definedName>
    <definedName name="ЗарплатаОкладМенеджер18">Зарплата!#REF!</definedName>
    <definedName name="ЗарплатаОкладМенеджер19">Зарплата!#REF!</definedName>
    <definedName name="ЗарплатаОкладМенеджер2">Зарплата!$J$47</definedName>
    <definedName name="ЗарплатаОкладМенеджер20">Зарплата!#REF!</definedName>
    <definedName name="ЗарплатаОкладМенеджер3">Зарплата!#REF!</definedName>
    <definedName name="ЗарплатаОкладМенеджер4">Зарплата!#REF!</definedName>
    <definedName name="ЗарплатаОкладМенеджер5">Зарплата!#REF!</definedName>
    <definedName name="ЗарплатаОкладМенеджер6">Зарплата!#REF!</definedName>
    <definedName name="ЗарплатаОкладМенеджер7">Зарплата!#REF!</definedName>
    <definedName name="ЗарплатаОкладМенеджер8">Зарплата!#REF!</definedName>
    <definedName name="ЗарплатаОкладМенеджер9">Зарплата!#REF!</definedName>
    <definedName name="ЗарплатаТурыВсе1">Зарплата!$E$9:$K$9</definedName>
    <definedName name="ЗарплатаТурыВсе10">Зарплата!#REF!</definedName>
    <definedName name="ЗарплатаТурыВсе11">Зарплата!#REF!</definedName>
    <definedName name="ЗарплатаТурыВсе12">Зарплата!#REF!</definedName>
    <definedName name="ЗарплатаТурыВсе13">Зарплата!#REF!</definedName>
    <definedName name="ЗарплатаТурыВсе14">Зарплата!#REF!</definedName>
    <definedName name="ЗарплатаТурыВсе15">Зарплата!#REF!</definedName>
    <definedName name="ЗарплатаТурыВсе16">Зарплата!#REF!</definedName>
    <definedName name="ЗарплатаТурыВсе17">Зарплата!#REF!</definedName>
    <definedName name="ЗарплатаТурыВсе18">Зарплата!#REF!</definedName>
    <definedName name="ЗарплатаТурыВсе19">Зарплата!#REF!</definedName>
    <definedName name="ЗарплатаТурыВсе2">Зарплата!$E$31:$K$31</definedName>
    <definedName name="ЗарплатаТурыВсе20">Зарплата!#REF!</definedName>
    <definedName name="ЗарплатаТурыВсе3">Зарплата!#REF!</definedName>
    <definedName name="ЗарплатаТурыВсе4">Зарплата!#REF!</definedName>
    <definedName name="ЗарплатаТурыВсе5">Зарплата!#REF!</definedName>
    <definedName name="ЗарплатаТурыВсе6">Зарплата!#REF!</definedName>
    <definedName name="ЗарплатаТурыВсе7">Зарплата!#REF!</definedName>
    <definedName name="ЗарплатаТурыВсе8">Зарплата!#REF!</definedName>
    <definedName name="ЗарплатаТурыВсе9">Зарплата!#REF!</definedName>
    <definedName name="ЗарплатаТурыМега1">Зарплата!$K$9</definedName>
    <definedName name="ЗарплатаТурыМега10">Зарплата!#REF!</definedName>
    <definedName name="ЗарплатаТурыМега11">Зарплата!#REF!</definedName>
    <definedName name="ЗарплатаТурыМега12">Зарплата!#REF!</definedName>
    <definedName name="ЗарплатаТурыМега13">Зарплата!#REF!</definedName>
    <definedName name="ЗарплатаТурыМега14">Зарплата!#REF!</definedName>
    <definedName name="ЗарплатаТурыМега15">Зарплата!#REF!</definedName>
    <definedName name="ЗарплатаТурыМега16">Зарплата!#REF!</definedName>
    <definedName name="ЗарплатаТурыМега17">Зарплата!#REF!</definedName>
    <definedName name="ЗарплатаТурыМега18">Зарплата!#REF!</definedName>
    <definedName name="ЗарплатаТурыМега19">Зарплата!#REF!</definedName>
    <definedName name="ЗарплатаТурыМега2">Зарплата!$K$31</definedName>
    <definedName name="ЗарплатаТурыМега20">Зарплата!#REF!</definedName>
    <definedName name="ЗарплатаТурыМега3">Зарплата!#REF!</definedName>
    <definedName name="ЗарплатаТурыМега4">Зарплата!#REF!</definedName>
    <definedName name="ЗарплатаТурыМега5">Зарплата!#REF!</definedName>
    <definedName name="ЗарплатаТурыМега6">Зарплата!#REF!</definedName>
    <definedName name="ЗарплатаТурыМега7">Зарплата!#REF!</definedName>
    <definedName name="ЗарплатаТурыМега8">Зарплата!#REF!</definedName>
    <definedName name="ЗарплатаТурыМега9">Зарплата!#REF!</definedName>
    <definedName name="ЗарплатаТурыМенеджер1">Зарплата!$O$9</definedName>
    <definedName name="ЗарплатаТурыМенеджер10">Зарплата!#REF!</definedName>
    <definedName name="ЗарплатаТурыМенеджер11">Зарплата!#REF!</definedName>
    <definedName name="ЗарплатаТурыМенеджер12">Зарплата!#REF!</definedName>
    <definedName name="ЗарплатаТурыМенеджер13">Зарплата!#REF!</definedName>
    <definedName name="ЗарплатаТурыМенеджер14">Зарплата!#REF!</definedName>
    <definedName name="ЗарплатаТурыМенеджер15">Зарплата!#REF!</definedName>
    <definedName name="ЗарплатаТурыМенеджер16">Зарплата!#REF!</definedName>
    <definedName name="ЗарплатаТурыМенеджер17">Зарплата!#REF!</definedName>
    <definedName name="ЗарплатаТурыМенеджер18">Зарплата!#REF!</definedName>
    <definedName name="ЗарплатаТурыМенеджер19">Зарплата!#REF!</definedName>
    <definedName name="ЗарплатаТурыМенеджер2">Зарплата!$O$31</definedName>
    <definedName name="ЗарплатаТурыМенеджер20">Зарплата!#REF!</definedName>
    <definedName name="ЗарплатаТурыМенеджер3">Зарплата!#REF!</definedName>
    <definedName name="ЗарплатаТурыМенеджер4">Зарплата!#REF!</definedName>
    <definedName name="ЗарплатаТурыМенеджер5">Зарплата!#REF!</definedName>
    <definedName name="ЗарплатаТурыМенеджер6">Зарплата!#REF!</definedName>
    <definedName name="ЗарплатаТурыМенеджер7">Зарплата!#REF!</definedName>
    <definedName name="ЗарплатаТурыМенеджер8">Зарплата!#REF!</definedName>
    <definedName name="ЗарплатаТурыМенеджер9">Зарплата!#REF!</definedName>
    <definedName name="ЗаявкиФактКанал1Менеджер1">Фактеризация!$AI$5</definedName>
    <definedName name="ЗаявкиФактКанал1Менеджер10">Фактеризация!#REF!</definedName>
    <definedName name="ЗаявкиФактКанал1Менеджер11">Фактеризация!#REF!</definedName>
    <definedName name="ЗаявкиФактКанал1Менеджер12">Фактеризация!#REF!</definedName>
    <definedName name="ЗаявкиФактКанал1Менеджер13">Фактеризация!#REF!</definedName>
    <definedName name="ЗаявкиФактКанал1Менеджер14">Фактеризация!#REF!</definedName>
    <definedName name="ЗаявкиФактКанал1Менеджер15">Фактеризация!#REF!</definedName>
    <definedName name="ЗаявкиФактКанал1Менеджер16">Фактеризация!#REF!</definedName>
    <definedName name="ЗаявкиФактКанал1Менеджер17">Фактеризация!#REF!</definedName>
    <definedName name="ЗаявкиФактКанал1Менеджер18">Фактеризация!#REF!</definedName>
    <definedName name="ЗаявкиФактКанал1Менеджер19">Фактеризация!#REF!</definedName>
    <definedName name="ЗаявкиФактКанал1Менеджер2">Фактеризация!$AI$17</definedName>
    <definedName name="ЗаявкиФактКанал1Менеджер20">Фактеризация!#REF!</definedName>
    <definedName name="ЗаявкиФактКанал1Менеджер3">Фактеризация!#REF!</definedName>
    <definedName name="ЗаявкиФактКанал1Менеджер4">Фактеризация!#REF!</definedName>
    <definedName name="ЗаявкиФактКанал1Менеджер5">Фактеризация!#REF!</definedName>
    <definedName name="ЗаявкиФактКанал1Менеджер6">Фактеризация!#REF!</definedName>
    <definedName name="ЗаявкиФактКанал1Менеджер7">Фактеризация!#REF!</definedName>
    <definedName name="ЗаявкиФактКанал1Менеджер8">Фактеризация!#REF!</definedName>
    <definedName name="ЗаявкиФактКанал1Менеджер9">Фактеризация!#REF!</definedName>
    <definedName name="ЗаявкиФактКанал2Менеджер1">Фактеризация!$AI$6</definedName>
    <definedName name="ЗаявкиФактКанал2Менеджер10">Фактеризация!#REF!</definedName>
    <definedName name="ЗаявкиФактКанал2Менеджер11">Фактеризация!#REF!</definedName>
    <definedName name="ЗаявкиФактКанал2Менеджер12">Фактеризация!#REF!</definedName>
    <definedName name="ЗаявкиФактКанал2Менеджер13">Фактеризация!#REF!</definedName>
    <definedName name="ЗаявкиФактКанал2Менеджер14">Фактеризация!#REF!</definedName>
    <definedName name="ЗаявкиФактКанал2Менеджер15">Фактеризация!#REF!</definedName>
    <definedName name="ЗаявкиФактКанал2Менеджер16">Фактеризация!#REF!</definedName>
    <definedName name="ЗаявкиФактКанал2Менеджер17">Фактеризация!#REF!</definedName>
    <definedName name="ЗаявкиФактКанал2Менеджер18">Фактеризация!#REF!</definedName>
    <definedName name="ЗаявкиФактКанал2Менеджер19">Фактеризация!#REF!</definedName>
    <definedName name="ЗаявкиФактКанал2Менеджер2">Фактеризация!$AI$18</definedName>
    <definedName name="ЗаявкиФактКанал2Менеджер20">Фактеризация!#REF!</definedName>
    <definedName name="ЗаявкиФактКанал2Менеджер3">Фактеризация!#REF!</definedName>
    <definedName name="ЗаявкиФактКанал2Менеджер4">Фактеризация!#REF!</definedName>
    <definedName name="ЗаявкиФактКанал2Менеджер5">Фактеризация!#REF!</definedName>
    <definedName name="ЗаявкиФактКанал2Менеджер6">Фактеризация!#REF!</definedName>
    <definedName name="ЗаявкиФактКанал2Менеджер7">Фактеризация!#REF!</definedName>
    <definedName name="ЗаявкиФактКанал2Менеджер8">Фактеризация!#REF!</definedName>
    <definedName name="ЗаявкиФактКанал2Менеджер9">Фактеризация!#REF!</definedName>
    <definedName name="ЗаявкиФактКанал3Менеджер1">Фактеризация!$AI$7</definedName>
    <definedName name="ЗаявкиФактКанал3Менеджер10">Фактеризация!#REF!</definedName>
    <definedName name="ЗаявкиФактКанал3Менеджер11">Фактеризация!#REF!</definedName>
    <definedName name="ЗаявкиФактКанал3Менеджер12">Фактеризация!#REF!</definedName>
    <definedName name="ЗаявкиФактКанал3Менеджер13">Фактеризация!#REF!</definedName>
    <definedName name="ЗаявкиФактКанал3Менеджер14">Фактеризация!#REF!</definedName>
    <definedName name="ЗаявкиФактКанал3Менеджер15">Фактеризация!#REF!</definedName>
    <definedName name="ЗаявкиФактКанал3Менеджер16">Фактеризация!#REF!</definedName>
    <definedName name="ЗаявкиФактКанал3Менеджер17">Фактеризация!#REF!</definedName>
    <definedName name="ЗаявкиФактКанал3Менеджер18">Фактеризация!#REF!</definedName>
    <definedName name="ЗаявкиФактКанал3Менеджер19">Фактеризация!#REF!</definedName>
    <definedName name="ЗаявкиФактКанал3Менеджер2">Фактеризация!$AI$19</definedName>
    <definedName name="ЗаявкиФактКанал3Менеджер20">Фактеризация!#REF!</definedName>
    <definedName name="ЗаявкиФактКанал3Менеджер3">Фактеризация!#REF!</definedName>
    <definedName name="ЗаявкиФактКанал3Менеджер4">Фактеризация!#REF!</definedName>
    <definedName name="ЗаявкиФактКанал3Менеджер5">Фактеризация!#REF!</definedName>
    <definedName name="ЗаявкиФактКанал3Менеджер6">Фактеризация!#REF!</definedName>
    <definedName name="ЗаявкиФактКанал3Менеджер7">Фактеризация!#REF!</definedName>
    <definedName name="ЗаявкиФактКанал3Менеджер8">Фактеризация!#REF!</definedName>
    <definedName name="ЗаявкиФактКанал3Менеджер9">Фактеризация!#REF!</definedName>
    <definedName name="ЗаявкиФактКанал4Менеджер1">Фактеризация!$AI$8</definedName>
    <definedName name="ЗаявкиФактКанал4Менеджер10">Фактеризация!#REF!</definedName>
    <definedName name="ЗаявкиФактКанал4Менеджер11">Фактеризация!#REF!</definedName>
    <definedName name="ЗаявкиФактКанал4Менеджер12">Фактеризация!#REF!</definedName>
    <definedName name="ЗаявкиФактКанал4Менеджер13">Фактеризация!#REF!</definedName>
    <definedName name="ЗаявкиФактКанал4Менеджер14">Фактеризация!#REF!</definedName>
    <definedName name="ЗаявкиФактКанал4Менеджер15">Фактеризация!#REF!</definedName>
    <definedName name="ЗаявкиФактКанал4Менеджер16">Фактеризация!#REF!</definedName>
    <definedName name="ЗаявкиФактКанал4Менеджер17">Фактеризация!#REF!</definedName>
    <definedName name="ЗаявкиФактКанал4Менеджер18">Фактеризация!#REF!</definedName>
    <definedName name="ЗаявкиФактКанал4Менеджер19">Фактеризация!#REF!</definedName>
    <definedName name="ЗаявкиФактКанал4Менеджер2">Фактеризация!$AI$20</definedName>
    <definedName name="ЗаявкиФактКанал4Менеджер20">Фактеризация!#REF!</definedName>
    <definedName name="ЗаявкиФактКанал4Менеджер3">Фактеризация!#REF!</definedName>
    <definedName name="ЗаявкиФактКанал4Менеджер4">Фактеризация!#REF!</definedName>
    <definedName name="ЗаявкиФактКанал4Менеджер5">Фактеризация!#REF!</definedName>
    <definedName name="ЗаявкиФактКанал4Менеджер6">Фактеризация!#REF!</definedName>
    <definedName name="ЗаявкиФактКанал4Менеджер7">Фактеризация!#REF!</definedName>
    <definedName name="ЗаявкиФактКанал4Менеджер8">Фактеризация!#REF!</definedName>
    <definedName name="ЗаявкиФактКанал4Менеджер9">Фактеризация!#REF!</definedName>
    <definedName name="ЗаявкиФактКанал5Менеджер1">Фактеризация!$AI$9</definedName>
    <definedName name="ЗаявкиФактКанал5Менеджер10">Фактеризация!#REF!</definedName>
    <definedName name="ЗаявкиФактКанал5Менеджер11">Фактеризация!#REF!</definedName>
    <definedName name="ЗаявкиФактКанал5Менеджер12">Фактеризация!#REF!</definedName>
    <definedName name="ЗаявкиФактКанал5Менеджер13">Фактеризация!#REF!</definedName>
    <definedName name="ЗаявкиФактКанал5Менеджер14">Фактеризация!#REF!</definedName>
    <definedName name="ЗаявкиФактКанал5Менеджер15">Фактеризация!#REF!</definedName>
    <definedName name="ЗаявкиФактКанал5Менеджер16">Фактеризация!#REF!</definedName>
    <definedName name="ЗаявкиФактКанал5Менеджер17">Фактеризация!#REF!</definedName>
    <definedName name="ЗаявкиФактКанал5Менеджер18">Фактеризация!#REF!</definedName>
    <definedName name="ЗаявкиФактКанал5Менеджер19">Фактеризация!#REF!</definedName>
    <definedName name="ЗаявкиФактКанал5Менеджер2">Фактеризация!$AI$21</definedName>
    <definedName name="ЗаявкиФактКанал5Менеджер20">Фактеризация!#REF!</definedName>
    <definedName name="ЗаявкиФактКанал5Менеджер3">Фактеризация!#REF!</definedName>
    <definedName name="ЗаявкиФактКанал5Менеджер4">Фактеризация!#REF!</definedName>
    <definedName name="ЗаявкиФактКанал5Менеджер5">Фактеризация!#REF!</definedName>
    <definedName name="ЗаявкиФактКанал5Менеджер6">Фактеризация!#REF!</definedName>
    <definedName name="ЗаявкиФактКанал5Менеджер7">Фактеризация!#REF!</definedName>
    <definedName name="ЗаявкиФактКанал5Менеджер8">Фактеризация!#REF!</definedName>
    <definedName name="ЗаявкиФактКанал5Менеджер9">Фактеризация!#REF!</definedName>
    <definedName name="ЗаявкиФактКанал6Менеджер1">Фактеризация!$AI$10</definedName>
    <definedName name="ЗаявкиФактКанал6Менеджер10">Фактеризация!#REF!</definedName>
    <definedName name="ЗаявкиФактКанал6Менеджер11">Фактеризация!#REF!</definedName>
    <definedName name="ЗаявкиФактКанал6Менеджер12">Фактеризация!#REF!</definedName>
    <definedName name="ЗаявкиФактКанал6Менеджер13">Фактеризация!#REF!</definedName>
    <definedName name="ЗаявкиФактКанал6Менеджер14">Фактеризация!#REF!</definedName>
    <definedName name="ЗаявкиФактКанал6Менеджер15">Фактеризация!#REF!</definedName>
    <definedName name="ЗаявкиФактКанал6Менеджер16">Фактеризация!#REF!</definedName>
    <definedName name="ЗаявкиФактКанал6Менеджер17">Фактеризация!#REF!</definedName>
    <definedName name="ЗаявкиФактКанал6Менеджер18">Фактеризация!#REF!</definedName>
    <definedName name="ЗаявкиФактКанал6Менеджер19">Фактеризация!#REF!</definedName>
    <definedName name="ЗаявкиФактКанал6Менеджер2">Фактеризация!$AI$22</definedName>
    <definedName name="ЗаявкиФактКанал6Менеджер20">Фактеризация!#REF!</definedName>
    <definedName name="ЗаявкиФактКанал6Менеджер3">Фактеризация!#REF!</definedName>
    <definedName name="ЗаявкиФактКанал6Менеджер4">Фактеризация!#REF!</definedName>
    <definedName name="ЗаявкиФактКанал6Менеджер5">Фактеризация!#REF!</definedName>
    <definedName name="ЗаявкиФактКанал6Менеджер6">Фактеризация!#REF!</definedName>
    <definedName name="ЗаявкиФактКанал6Менеджер7">Фактеризация!#REF!</definedName>
    <definedName name="ЗаявкиФактКанал6Менеджер8">Фактеризация!#REF!</definedName>
    <definedName name="ЗаявкиФактКанал6Менеджер9">Фактеризация!#REF!</definedName>
    <definedName name="ЗаявкиФактКанал7Менеджер1">Фактеризация!$AI$11</definedName>
    <definedName name="ЗаявкиФактКанал7Менеджер10">Фактеризация!#REF!</definedName>
    <definedName name="ЗаявкиФактКанал7Менеджер11">Фактеризация!#REF!</definedName>
    <definedName name="ЗаявкиФактКанал7Менеджер12">Фактеризация!#REF!</definedName>
    <definedName name="ЗаявкиФактКанал7Менеджер13">Фактеризация!#REF!</definedName>
    <definedName name="ЗаявкиФактКанал7Менеджер14">Фактеризация!#REF!</definedName>
    <definedName name="ЗаявкиФактКанал7Менеджер15">Фактеризация!#REF!</definedName>
    <definedName name="ЗаявкиФактКанал7Менеджер16">Фактеризация!#REF!</definedName>
    <definedName name="ЗаявкиФактКанал7Менеджер17">Фактеризация!#REF!</definedName>
    <definedName name="ЗаявкиФактКанал7Менеджер18">Фактеризация!#REF!</definedName>
    <definedName name="ЗаявкиФактКанал7Менеджер19">Фактеризация!#REF!</definedName>
    <definedName name="ЗаявкиФактКанал7Менеджер2">Фактеризация!$AI$23</definedName>
    <definedName name="ЗаявкиФактКанал7Менеджер20">Фактеризация!#REF!</definedName>
    <definedName name="ЗаявкиФактКанал7Менеджер3">Фактеризация!#REF!</definedName>
    <definedName name="ЗаявкиФактКанал7Менеджер4">Фактеризация!#REF!</definedName>
    <definedName name="ЗаявкиФактКанал7Менеджер5">Фактеризация!#REF!</definedName>
    <definedName name="ЗаявкиФактКанал7Менеджер6">Фактеризация!#REF!</definedName>
    <definedName name="ЗаявкиФактКанал7Менеджер7">Фактеризация!#REF!</definedName>
    <definedName name="ЗаявкиФактКанал7Менеджер8">Фактеризация!#REF!</definedName>
    <definedName name="ЗаявкиФактКанал7Менеджер9">Фактеризация!#REF!</definedName>
    <definedName name="ИндивидуальныеЗаданияМенеджер1">Зарплата!$B$15</definedName>
    <definedName name="ИндивидуальныеЗаданияМенеджер10">Зарплата!#REF!</definedName>
    <definedName name="ИндивидуальныеЗаданияМенеджер11">Зарплата!#REF!</definedName>
    <definedName name="ИндивидуальныеЗаданияМенеджер12">Зарплата!#REF!</definedName>
    <definedName name="ИндивидуальныеЗаданияМенеджер13">Зарплата!#REF!</definedName>
    <definedName name="ИндивидуальныеЗаданияМенеджер14">Зарплата!#REF!</definedName>
    <definedName name="ИндивидуальныеЗаданияМенеджер15">Зарплата!#REF!</definedName>
    <definedName name="ИндивидуальныеЗаданияМенеджер16">Зарплата!#REF!</definedName>
    <definedName name="ИндивидуальныеЗаданияМенеджер17">Зарплата!#REF!</definedName>
    <definedName name="ИндивидуальныеЗаданияМенеджер18">Зарплата!#REF!</definedName>
    <definedName name="ИндивидуальныеЗаданияМенеджер19">Зарплата!#REF!</definedName>
    <definedName name="ИндивидуальныеЗаданияМенеджер2">Зарплата!$B$37</definedName>
    <definedName name="ИндивидуальныеЗаданияМенеджер20">Зарплата!#REF!</definedName>
    <definedName name="ИндивидуальныеЗаданияМенеджер3">Зарплата!#REF!</definedName>
    <definedName name="ИндивидуальныеЗаданияМенеджер4">Зарплата!#REF!</definedName>
    <definedName name="ИндивидуальныеЗаданияМенеджер5">Зарплата!#REF!</definedName>
    <definedName name="ИндивидуальныеЗаданияМенеджер6">Зарплата!#REF!</definedName>
    <definedName name="ИндивидуальныеЗаданияМенеджер7">Зарплата!#REF!</definedName>
    <definedName name="ИндивидуальныеЗаданияМенеджер8">Зарплата!#REF!</definedName>
    <definedName name="ИндивидуальныеЗаданияМенеджер9">Зарплата!#REF!</definedName>
    <definedName name="Менеджер_1">Зарплата!$B$6</definedName>
    <definedName name="Менеджер_10">Зарплата!#REF!</definedName>
    <definedName name="Менеджер_11">Зарплата!#REF!</definedName>
    <definedName name="Менеджер_12">Зарплата!#REF!</definedName>
    <definedName name="Менеджер_13">Зарплата!#REF!</definedName>
    <definedName name="Менеджер_14">Зарплата!#REF!</definedName>
    <definedName name="Менеджер_15">Зарплата!#REF!</definedName>
    <definedName name="Менеджер_16">Зарплата!#REF!</definedName>
    <definedName name="Менеджер_17">Зарплата!#REF!</definedName>
    <definedName name="Менеджер_18">Зарплата!#REF!</definedName>
    <definedName name="Менеджер_19">Зарплата!#REF!</definedName>
    <definedName name="Менеджер_2">Зарплата!$B$28</definedName>
    <definedName name="Менеджер_20">Зарплата!#REF!</definedName>
    <definedName name="Менеджер_3">Зарплата!#REF!</definedName>
    <definedName name="Менеджер_4">Зарплата!#REF!</definedName>
    <definedName name="Менеджер_5">Зарплата!#REF!</definedName>
    <definedName name="Менеджер_6">Зарплата!#REF!</definedName>
    <definedName name="Менеджер_7">Зарплата!#REF!</definedName>
    <definedName name="Менеджер_8">Зарплата!#REF!</definedName>
    <definedName name="Менеджер_9">Зарплата!#REF!</definedName>
    <definedName name="НарастающийИтогДоля">Настройки!$G$15</definedName>
    <definedName name="ПланДопы">Зарплата!$S$2</definedName>
    <definedName name="ПланТуры">Зарплата!$M$2</definedName>
    <definedName name="ПлохиеДелаМенеджер1">Зарплата!$S$18</definedName>
    <definedName name="ПлохиеДелаМенеджер10">Зарплата!#REF!</definedName>
    <definedName name="ПлохиеДелаМенеджер11">Зарплата!#REF!</definedName>
    <definedName name="ПлохиеДелаМенеджер12">Зарплата!#REF!</definedName>
    <definedName name="ПлохиеДелаМенеджер13">Зарплата!#REF!</definedName>
    <definedName name="ПлохиеДелаМенеджер14">Зарплата!#REF!</definedName>
    <definedName name="ПлохиеДелаМенеджер15">Зарплата!#REF!</definedName>
    <definedName name="ПлохиеДелаМенеджер16">Зарплата!#REF!</definedName>
    <definedName name="ПлохиеДелаМенеджер17">Зарплата!#REF!</definedName>
    <definedName name="ПлохиеДелаМенеджер18">Зарплата!#REF!</definedName>
    <definedName name="ПлохиеДелаМенеджер19">Зарплата!#REF!</definedName>
    <definedName name="ПлохиеДелаМенеджер2">Зарплата!$S$40</definedName>
    <definedName name="ПлохиеДелаМенеджер20">Зарплата!#REF!</definedName>
    <definedName name="ПлохиеДелаМенеджер3">Зарплата!#REF!</definedName>
    <definedName name="ПлохиеДелаМенеджер4">Зарплата!#REF!</definedName>
    <definedName name="ПлохиеДелаМенеджер5">Зарплата!#REF!</definedName>
    <definedName name="ПлохиеДелаМенеджер6">Зарплата!#REF!</definedName>
    <definedName name="ПлохиеДелаМенеджер7">Зарплата!#REF!</definedName>
    <definedName name="ПлохиеДелаМенеджер8">Зарплата!#REF!</definedName>
    <definedName name="ПлохиеДелаМенеджер9">Зарплата!#REF!</definedName>
    <definedName name="СреднийЧек">Настройки!$I$15</definedName>
    <definedName name="Факт_допы">Служебный!$B$9</definedName>
    <definedName name="Факт_туры">Служебный!$B$8</definedName>
    <definedName name="ФактДопыМенеджер1">Фактеризация!$AI$13</definedName>
    <definedName name="ФактДопыМенеджер10">Фактеризация!#REF!</definedName>
    <definedName name="ФактДопыМенеджер11">Фактеризация!#REF!</definedName>
    <definedName name="ФактДопыМенеджер12">Фактеризация!#REF!</definedName>
    <definedName name="ФактДопыМенеджер13">Фактеризация!#REF!</definedName>
    <definedName name="ФактДопыМенеджер14">Фактеризация!#REF!</definedName>
    <definedName name="ФактДопыМенеджер15">Фактеризация!#REF!</definedName>
    <definedName name="ФактДопыМенеджер16">Фактеризация!#REF!</definedName>
    <definedName name="ФактДопыМенеджер17">Фактеризация!#REF!</definedName>
    <definedName name="ФактДопыМенеджер18">Фактеризация!#REF!</definedName>
    <definedName name="ФактДопыМенеджер19">Фактеризация!#REF!</definedName>
    <definedName name="ФактДопыМенеджер2">Фактеризация!$AI$25</definedName>
    <definedName name="ФактДопыМенеджер20">Фактеризация!#REF!</definedName>
    <definedName name="ФактДопыМенеджер3">Фактеризация!#REF!</definedName>
    <definedName name="ФактДопыМенеджер4">Фактеризация!#REF!</definedName>
    <definedName name="ФактДопыМенеджер5">Фактеризация!#REF!</definedName>
    <definedName name="ФактДопыМенеджер6">Фактеризация!#REF!</definedName>
    <definedName name="ФактДопыМенеджер7">Фактеризация!#REF!</definedName>
    <definedName name="ФактДопыМенеджер8">Фактеризация!#REF!</definedName>
    <definedName name="ФактДопыМенеджер9">Фактеризация!#REF!</definedName>
    <definedName name="ФактТурыМенеджер1">Фактеризация!$AI$12</definedName>
    <definedName name="ФактТурыМенеджер10">Фактеризация!#REF!</definedName>
    <definedName name="ФактТурыМенеджер11">Фактеризация!#REF!</definedName>
    <definedName name="ФактТурыМенеджер12">Фактеризация!#REF!</definedName>
    <definedName name="ФактТурыМенеджер13">Фактеризация!#REF!</definedName>
    <definedName name="ФактТурыМенеджер14">Фактеризация!#REF!</definedName>
    <definedName name="ФактТурыМенеджер15">Фактеризация!#REF!</definedName>
    <definedName name="ФактТурыМенеджер16">Фактеризация!#REF!</definedName>
    <definedName name="ФактТурыМенеджер17">Фактеризация!#REF!</definedName>
    <definedName name="ФактТурыМенеджер18">Фактеризация!#REF!</definedName>
    <definedName name="ФактТурыМенеджер19">Фактеризация!#REF!</definedName>
    <definedName name="ФактТурыМенеджер2">Фактеризация!$AI$24</definedName>
    <definedName name="ФактТурыМенеджер20">Фактеризация!#REF!</definedName>
    <definedName name="ФактТурыМенеджер3">Фактеризация!#REF!</definedName>
    <definedName name="ФактТурыМенеджер4">Фактеризация!#REF!</definedName>
    <definedName name="ФактТурыМенеджер5">Фактеризация!#REF!</definedName>
    <definedName name="ФактТурыМенеджер6">Фактеризация!#REF!</definedName>
    <definedName name="ФактТурыМенеджер7">Фактеризация!#REF!</definedName>
    <definedName name="ФактТурыМенеджер8">Фактеризация!#REF!</definedName>
    <definedName name="ФактТурыМенеджер9">Фактеризация!#REF!</definedName>
    <definedName name="ХорошиеДелаМенеджер1">Зарплата!$S$9</definedName>
    <definedName name="ХорошиеДелаМенеджер10">Зарплата!#REF!</definedName>
    <definedName name="ХорошиеДелаМенеджер11">Зарплата!#REF!</definedName>
    <definedName name="ХорошиеДелаМенеджер12">Зарплата!#REF!</definedName>
    <definedName name="ХорошиеДелаМенеджер13">Зарплата!#REF!</definedName>
    <definedName name="ХорошиеДелаМенеджер14">Зарплата!#REF!</definedName>
    <definedName name="ХорошиеДелаМенеджер15">Зарплата!#REF!</definedName>
    <definedName name="ХорошиеДелаМенеджер16">Зарплата!#REF!</definedName>
    <definedName name="ХорошиеДелаМенеджер17">Зарплата!#REF!</definedName>
    <definedName name="ХорошиеДелаМенеджер18">Зарплата!#REF!</definedName>
    <definedName name="ХорошиеДелаМенеджер19">Зарплата!#REF!</definedName>
    <definedName name="ХорошиеДелаМенеджер2">Зарплата!$S$31</definedName>
    <definedName name="ХорошиеДелаМенеджер20">Зарплата!#REF!</definedName>
    <definedName name="ХорошиеДелаМенеджер3">Зарплата!#REF!</definedName>
    <definedName name="ХорошиеДелаМенеджер4">Зарплата!#REF!</definedName>
    <definedName name="ХорошиеДелаМенеджер5">Зарплата!#REF!</definedName>
    <definedName name="ХорошиеДелаМенеджер6">Зарплата!#REF!</definedName>
    <definedName name="ХорошиеДелаМенеджер7">Зарплата!#REF!</definedName>
    <definedName name="ХорошиеДелаМенеджер8">Зарплата!#REF!</definedName>
    <definedName name="ХорошиеДелаМенеджер9">Зарплата!#REF!</definedName>
    <definedName name="ЦельДопыМенеджер1">Зарплата!$H$12</definedName>
    <definedName name="ЦельДопыМенеджер10">Зарплата!#REF!</definedName>
    <definedName name="ЦельДопыМенеджер11">Зарплата!#REF!</definedName>
    <definedName name="ЦельДопыМенеджер12">Зарплата!#REF!</definedName>
    <definedName name="ЦельДопыМенеджер13">Зарплата!#REF!</definedName>
    <definedName name="ЦельДопыМенеджер14">Зарплата!#REF!</definedName>
    <definedName name="ЦельДопыМенеджер15">Зарплата!#REF!</definedName>
    <definedName name="ЦельДопыМенеджер16">Зарплата!#REF!</definedName>
    <definedName name="ЦельДопыМенеджер17">Зарплата!#REF!</definedName>
    <definedName name="ЦельДопыМенеджер18">Зарплата!#REF!</definedName>
    <definedName name="ЦельДопыМенеджер19">Зарплата!#REF!</definedName>
    <definedName name="ЦельДопыМенеджер2">Зарплата!$H$34</definedName>
    <definedName name="ЦельДопыМенеджер20">Зарплата!#REF!</definedName>
    <definedName name="ЦельДопыМенеджер3">Зарплата!#REF!</definedName>
    <definedName name="ЦельДопыМенеджер4">Зарплата!#REF!</definedName>
    <definedName name="ЦельДопыМенеджер5">Зарплата!#REF!</definedName>
    <definedName name="ЦельДопыМенеджер6">Зарплата!#REF!</definedName>
    <definedName name="ЦельДопыМенеджер7">Зарплата!#REF!</definedName>
    <definedName name="ЦельДопыМенеджер8">Зарплата!#REF!</definedName>
    <definedName name="ЦельДопыМенеджер9">Зарплата!#REF!</definedName>
    <definedName name="ЦельТурыМенеджер1">Зарплата!$H$9</definedName>
    <definedName name="ЦельТурыМенеджер10">Зарплата!#REF!</definedName>
    <definedName name="ЦельТурыМенеджер11">Зарплата!#REF!</definedName>
    <definedName name="ЦельТурыМенеджер12">Зарплата!#REF!</definedName>
    <definedName name="ЦельТурыМенеджер13">Зарплата!#REF!</definedName>
    <definedName name="ЦельТурыМенеджер14">Зарплата!#REF!</definedName>
    <definedName name="ЦельТурыМенеджер15">Зарплата!#REF!</definedName>
    <definedName name="ЦельТурыМенеджер16">Зарплата!#REF!</definedName>
    <definedName name="ЦельТурыМенеджер17">Зарплата!#REF!</definedName>
    <definedName name="ЦельТурыМенеджер18">Зарплата!#REF!</definedName>
    <definedName name="ЦельТурыМенеджер19">Зарплата!#REF!</definedName>
    <definedName name="ЦельТурыМенеджер2">Зарплата!$H$31</definedName>
    <definedName name="ЦельТурыМенеджер20">Зарплата!#REF!</definedName>
    <definedName name="ЦельТурыМенеджер3">Зарплата!#REF!</definedName>
    <definedName name="ЦельТурыМенеджер4">Зарплата!#REF!</definedName>
    <definedName name="ЦельТурыМенеджер5">Зарплата!#REF!</definedName>
    <definedName name="ЦельТурыМенеджер6">Зарплата!#REF!</definedName>
    <definedName name="ЦельТурыМенеджер7">Зарплата!#REF!</definedName>
    <definedName name="ЦельТурыМенеджер8">Зарплата!#REF!</definedName>
    <definedName name="ЦельТурыМенеджер9">Зарплата!#REF!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N12" i="6"/>
  <c r="J68" i="4" l="1"/>
  <c r="J67" i="4"/>
  <c r="J66" i="4"/>
  <c r="J65" i="4"/>
  <c r="J64" i="4"/>
  <c r="J63" i="4"/>
  <c r="J62" i="4"/>
  <c r="J39" i="4"/>
  <c r="J38" i="4"/>
  <c r="J37" i="4"/>
  <c r="J36" i="4"/>
  <c r="J35" i="4"/>
  <c r="J34" i="4"/>
  <c r="J33" i="4"/>
  <c r="J52" i="2" l="1"/>
  <c r="J51" i="2"/>
  <c r="J50" i="2"/>
  <c r="J49" i="2"/>
  <c r="J48" i="2"/>
  <c r="J47" i="2"/>
  <c r="J46" i="2"/>
  <c r="J32" i="2"/>
  <c r="J31" i="2"/>
  <c r="J10" i="2"/>
  <c r="J11" i="2"/>
  <c r="J12" i="2"/>
  <c r="J13" i="2"/>
  <c r="J14" i="2"/>
  <c r="J15" i="2"/>
  <c r="J4" i="2" l="1"/>
  <c r="J9" i="2"/>
  <c r="J23" i="2"/>
  <c r="J28" i="2"/>
  <c r="J29" i="2" l="1"/>
  <c r="J30" i="2" l="1"/>
  <c r="J33" i="2" l="1"/>
  <c r="J34" i="2" l="1"/>
  <c r="J41" i="2" l="1"/>
  <c r="A39" i="2" l="1"/>
  <c r="N50" i="2"/>
  <c r="B50" i="2"/>
  <c r="R41" i="2"/>
  <c r="N41" i="2"/>
  <c r="F41" i="2"/>
  <c r="B41" i="2"/>
  <c r="B39" i="2"/>
  <c r="G18" i="3" l="1"/>
  <c r="G19" i="3" s="1"/>
  <c r="G16" i="3"/>
  <c r="G15" i="3" l="1"/>
  <c r="A50" i="4"/>
  <c r="N70" i="4"/>
  <c r="O68" i="4"/>
  <c r="G68" i="4"/>
  <c r="B68" i="4"/>
  <c r="O67" i="4"/>
  <c r="G67" i="4"/>
  <c r="B67" i="4"/>
  <c r="O66" i="4"/>
  <c r="G66" i="4"/>
  <c r="B66" i="4"/>
  <c r="O65" i="4"/>
  <c r="G65" i="4"/>
  <c r="B65" i="4"/>
  <c r="O64" i="4"/>
  <c r="G64" i="4"/>
  <c r="B64" i="4"/>
  <c r="O63" i="4"/>
  <c r="G63" i="4"/>
  <c r="B63" i="4"/>
  <c r="O62" i="4"/>
  <c r="G62" i="4"/>
  <c r="B62" i="4"/>
  <c r="N52" i="4"/>
  <c r="J52" i="4"/>
  <c r="F52" i="4"/>
  <c r="B52" i="4"/>
  <c r="B39" i="4" l="1"/>
  <c r="B38" i="4"/>
  <c r="B37" i="4"/>
  <c r="B36" i="4"/>
  <c r="B35" i="4"/>
  <c r="B34" i="4"/>
  <c r="B33" i="4"/>
  <c r="O39" i="4"/>
  <c r="O38" i="4"/>
  <c r="O37" i="4"/>
  <c r="O36" i="4"/>
  <c r="O35" i="4"/>
  <c r="O34" i="4"/>
  <c r="O33" i="4"/>
  <c r="G39" i="4"/>
  <c r="G38" i="4"/>
  <c r="G37" i="4"/>
  <c r="G36" i="4"/>
  <c r="G35" i="4"/>
  <c r="G34" i="4"/>
  <c r="G33" i="4"/>
  <c r="N32" i="2"/>
  <c r="B32" i="2"/>
  <c r="N6" i="2"/>
  <c r="B26" i="8"/>
  <c r="B27" i="8"/>
  <c r="B28" i="8"/>
  <c r="B29" i="8"/>
  <c r="B30" i="8"/>
  <c r="B31" i="8"/>
  <c r="C23" i="5"/>
  <c r="C22" i="5"/>
  <c r="C21" i="5"/>
  <c r="C20" i="5"/>
  <c r="C19" i="5"/>
  <c r="C18" i="5"/>
  <c r="C17" i="5"/>
  <c r="C11" i="5"/>
  <c r="C10" i="5"/>
  <c r="C9" i="5"/>
  <c r="C8" i="5"/>
  <c r="C7" i="5"/>
  <c r="C6" i="5"/>
  <c r="G17" i="3"/>
  <c r="D17" i="2"/>
  <c r="B17" i="2"/>
  <c r="B6" i="2"/>
  <c r="J6" i="4"/>
  <c r="N6" i="4" s="1"/>
  <c r="B6" i="4"/>
  <c r="F6" i="4" s="1"/>
  <c r="T46" i="6"/>
  <c r="T45" i="6"/>
  <c r="T44" i="6"/>
  <c r="T43" i="6"/>
  <c r="T42" i="6"/>
  <c r="T41" i="6"/>
  <c r="T40" i="6"/>
  <c r="T37" i="6"/>
  <c r="T36" i="6"/>
  <c r="T35" i="6"/>
  <c r="T34" i="6"/>
  <c r="T33" i="6"/>
  <c r="T32" i="6"/>
  <c r="T31" i="6"/>
  <c r="T23" i="6"/>
  <c r="T22" i="6"/>
  <c r="T21" i="6"/>
  <c r="T20" i="6"/>
  <c r="T19" i="6"/>
  <c r="T18" i="6"/>
  <c r="T15" i="6"/>
  <c r="T13" i="6"/>
  <c r="T12" i="6"/>
  <c r="T11" i="6"/>
  <c r="T9" i="6"/>
  <c r="Q46" i="6"/>
  <c r="Q45" i="6"/>
  <c r="Q44" i="6"/>
  <c r="Q43" i="6"/>
  <c r="Q42" i="6"/>
  <c r="Q41" i="6"/>
  <c r="Q40" i="6"/>
  <c r="Q37" i="6"/>
  <c r="Q36" i="6"/>
  <c r="Q35" i="6"/>
  <c r="Q34" i="6"/>
  <c r="Q33" i="6"/>
  <c r="Q32" i="6"/>
  <c r="Q31" i="6"/>
  <c r="Q23" i="6"/>
  <c r="Q22" i="6"/>
  <c r="Q21" i="6"/>
  <c r="Q20" i="6"/>
  <c r="Q19" i="6"/>
  <c r="Q18" i="6"/>
  <c r="Q15" i="6"/>
  <c r="Q13" i="6"/>
  <c r="Q12" i="6"/>
  <c r="Q11" i="6"/>
  <c r="Q9" i="6"/>
  <c r="F6" i="2" l="1"/>
  <c r="P17" i="2"/>
  <c r="R6" i="2"/>
  <c r="J17" i="2"/>
  <c r="F17" i="2"/>
  <c r="R50" i="2"/>
  <c r="B55" i="2"/>
  <c r="F50" i="2"/>
  <c r="B37" i="2"/>
  <c r="R17" i="2"/>
  <c r="F32" i="2"/>
  <c r="R32" i="2"/>
  <c r="AA19" i="8"/>
  <c r="K19" i="8"/>
  <c r="W19" i="8"/>
  <c r="G19" i="8"/>
  <c r="S19" i="8"/>
  <c r="AE19" i="8"/>
  <c r="O19" i="8"/>
  <c r="AD19" i="8"/>
  <c r="Z19" i="8"/>
  <c r="V19" i="8"/>
  <c r="R19" i="8"/>
  <c r="N19" i="8"/>
  <c r="J19" i="8"/>
  <c r="F19" i="8"/>
  <c r="AG19" i="8"/>
  <c r="AC19" i="8"/>
  <c r="Y19" i="8"/>
  <c r="U19" i="8"/>
  <c r="Q19" i="8"/>
  <c r="M19" i="8"/>
  <c r="I19" i="8"/>
  <c r="E19" i="8"/>
  <c r="AF19" i="8"/>
  <c r="AB19" i="8"/>
  <c r="X19" i="8"/>
  <c r="T19" i="8"/>
  <c r="P19" i="8"/>
  <c r="L19" i="8"/>
  <c r="H19" i="8"/>
  <c r="D19" i="8"/>
  <c r="AE13" i="8"/>
  <c r="O13" i="8"/>
  <c r="C19" i="8"/>
  <c r="AA13" i="8"/>
  <c r="K13" i="8"/>
  <c r="W13" i="8"/>
  <c r="G13" i="8"/>
  <c r="S13" i="8"/>
  <c r="AD13" i="8"/>
  <c r="Z13" i="8"/>
  <c r="V13" i="8"/>
  <c r="R13" i="8"/>
  <c r="N13" i="8"/>
  <c r="J13" i="8"/>
  <c r="F13" i="8"/>
  <c r="AG13" i="8"/>
  <c r="AC13" i="8"/>
  <c r="Y13" i="8"/>
  <c r="U13" i="8"/>
  <c r="Q13" i="8"/>
  <c r="M13" i="8"/>
  <c r="I13" i="8"/>
  <c r="E13" i="8"/>
  <c r="AF13" i="8"/>
  <c r="AB13" i="8"/>
  <c r="X13" i="8"/>
  <c r="T13" i="8"/>
  <c r="P13" i="8"/>
  <c r="L13" i="8"/>
  <c r="H13" i="8"/>
  <c r="D13" i="8"/>
  <c r="C13" i="8"/>
  <c r="A34" i="6"/>
  <c r="A31" i="6"/>
  <c r="A12" i="6"/>
  <c r="A9" i="6"/>
  <c r="H17" i="2" l="1"/>
  <c r="T17" i="2"/>
  <c r="H31" i="6"/>
  <c r="H34" i="6"/>
  <c r="H12" i="6"/>
  <c r="H9" i="6"/>
  <c r="B4" i="6"/>
  <c r="B43" i="2"/>
  <c r="N43" i="2"/>
  <c r="R43" i="2" l="1"/>
  <c r="F43" i="2"/>
  <c r="P50" i="2"/>
  <c r="D50" i="2"/>
  <c r="H13" i="6"/>
  <c r="H10" i="6"/>
  <c r="J34" i="6"/>
  <c r="J35" i="6" s="1"/>
  <c r="H35" i="6"/>
  <c r="E34" i="6"/>
  <c r="K34" i="6"/>
  <c r="F34" i="6"/>
  <c r="F35" i="6" s="1"/>
  <c r="G34" i="6"/>
  <c r="G35" i="6" s="1"/>
  <c r="I34" i="6"/>
  <c r="I35" i="6" s="1"/>
  <c r="H32" i="6"/>
  <c r="E31" i="6"/>
  <c r="K31" i="6"/>
  <c r="I31" i="6"/>
  <c r="I32" i="6" s="1"/>
  <c r="F31" i="6"/>
  <c r="F32" i="6" s="1"/>
  <c r="J31" i="6"/>
  <c r="J32" i="6" s="1"/>
  <c r="G31" i="6"/>
  <c r="G32" i="6" s="1"/>
  <c r="J9" i="6"/>
  <c r="J10" i="6" s="1"/>
  <c r="E9" i="6"/>
  <c r="I9" i="6"/>
  <c r="I10" i="6" s="1"/>
  <c r="G9" i="6"/>
  <c r="G10" i="6" s="1"/>
  <c r="K9" i="6"/>
  <c r="F9" i="6"/>
  <c r="F10" i="6" s="1"/>
  <c r="K12" i="6"/>
  <c r="G12" i="6"/>
  <c r="G13" i="6" s="1"/>
  <c r="J12" i="6"/>
  <c r="J13" i="6" s="1"/>
  <c r="F12" i="6"/>
  <c r="F13" i="6" s="1"/>
  <c r="I12" i="6"/>
  <c r="I13" i="6" s="1"/>
  <c r="E12" i="6"/>
  <c r="E13" i="6" s="1"/>
  <c r="H50" i="2" l="1"/>
  <c r="T50" i="2"/>
  <c r="K35" i="6"/>
  <c r="K10" i="6"/>
  <c r="K32" i="6"/>
  <c r="K13" i="6"/>
  <c r="E35" i="6"/>
  <c r="E32" i="6"/>
  <c r="E10" i="6"/>
  <c r="U31" i="6" l="1"/>
  <c r="U9" i="6"/>
  <c r="N41" i="4" l="1"/>
  <c r="N23" i="4"/>
  <c r="F4" i="4"/>
  <c r="N4" i="4"/>
  <c r="J4" i="4"/>
  <c r="R23" i="2"/>
  <c r="N23" i="2"/>
  <c r="N4" i="2"/>
  <c r="R4" i="2"/>
  <c r="F4" i="2"/>
  <c r="U46" i="6" l="1"/>
  <c r="U45" i="6"/>
  <c r="U44" i="6"/>
  <c r="U43" i="6"/>
  <c r="U42" i="6"/>
  <c r="U41" i="6"/>
  <c r="U40" i="6"/>
  <c r="U37" i="6"/>
  <c r="U36" i="6"/>
  <c r="U35" i="6"/>
  <c r="U34" i="6"/>
  <c r="U33" i="6"/>
  <c r="U32" i="6"/>
  <c r="T24" i="6"/>
  <c r="T14" i="6"/>
  <c r="Q24" i="6"/>
  <c r="Q14" i="6"/>
  <c r="S47" i="6" l="1"/>
  <c r="B25" i="8" l="1"/>
  <c r="AG12" i="8"/>
  <c r="AF12" i="8"/>
  <c r="AE12" i="8"/>
  <c r="F23" i="2"/>
  <c r="B23" i="2"/>
  <c r="J23" i="4"/>
  <c r="F23" i="4"/>
  <c r="B23" i="4"/>
  <c r="B4" i="4"/>
  <c r="B2" i="4"/>
  <c r="U24" i="6"/>
  <c r="O45" i="6"/>
  <c r="O43" i="6"/>
  <c r="O41" i="6"/>
  <c r="O39" i="6"/>
  <c r="O37" i="6"/>
  <c r="Q10" i="6"/>
  <c r="U15" i="6"/>
  <c r="U14" i="6"/>
  <c r="T10" i="6"/>
  <c r="B17" i="5"/>
  <c r="AI25" i="5"/>
  <c r="AI24" i="5"/>
  <c r="AI23" i="5"/>
  <c r="AI22" i="5"/>
  <c r="AI21" i="5"/>
  <c r="AI20" i="5"/>
  <c r="AI19" i="5"/>
  <c r="AI18" i="5"/>
  <c r="AI17" i="5"/>
  <c r="C5" i="5"/>
  <c r="O23" i="6"/>
  <c r="O21" i="6"/>
  <c r="O19" i="6"/>
  <c r="O17" i="6"/>
  <c r="O15" i="6"/>
  <c r="AI13" i="5"/>
  <c r="AI12" i="5"/>
  <c r="AI11" i="5"/>
  <c r="AI10" i="5"/>
  <c r="AI9" i="5"/>
  <c r="AI7" i="5"/>
  <c r="AI6" i="5"/>
  <c r="AI5" i="5"/>
  <c r="B4" i="2"/>
  <c r="B2" i="2"/>
  <c r="AI8" i="5"/>
  <c r="B9" i="8"/>
  <c r="B8" i="8"/>
  <c r="O43" i="2"/>
  <c r="C43" i="2"/>
  <c r="G43" i="2" l="1"/>
  <c r="D43" i="2"/>
  <c r="S43" i="2"/>
  <c r="T43" i="2" s="1"/>
  <c r="P43" i="2"/>
  <c r="H6" i="8"/>
  <c r="H5" i="8"/>
  <c r="H4" i="8"/>
  <c r="B6" i="8"/>
  <c r="B4" i="8"/>
  <c r="E4" i="8"/>
  <c r="B5" i="8"/>
  <c r="E5" i="8"/>
  <c r="E6" i="8"/>
  <c r="D51" i="2"/>
  <c r="P51" i="2"/>
  <c r="M31" i="6"/>
  <c r="M34" i="6"/>
  <c r="K10" i="2"/>
  <c r="L10" i="2" s="1"/>
  <c r="K9" i="2"/>
  <c r="L9" i="2" s="1"/>
  <c r="K13" i="2"/>
  <c r="L13" i="2" s="1"/>
  <c r="K15" i="2"/>
  <c r="L15" i="2" s="1"/>
  <c r="M12" i="6"/>
  <c r="K11" i="2"/>
  <c r="L11" i="2" s="1"/>
  <c r="M9" i="6"/>
  <c r="N9" i="6" s="1"/>
  <c r="K12" i="2"/>
  <c r="L12" i="2" s="1"/>
  <c r="K14" i="2"/>
  <c r="L14" i="2" s="1"/>
  <c r="U20" i="6"/>
  <c r="U10" i="6"/>
  <c r="U11" i="6"/>
  <c r="U12" i="6"/>
  <c r="U18" i="6"/>
  <c r="U22" i="6"/>
  <c r="U21" i="6"/>
  <c r="U13" i="6"/>
  <c r="U19" i="6"/>
  <c r="U23" i="6"/>
  <c r="O6" i="2"/>
  <c r="P6" i="2" s="1"/>
  <c r="AH29" i="8"/>
  <c r="O17" i="8"/>
  <c r="AH27" i="8"/>
  <c r="AC17" i="8"/>
  <c r="P23" i="8"/>
  <c r="G23" i="8"/>
  <c r="R23" i="8"/>
  <c r="P17" i="8"/>
  <c r="AC23" i="8"/>
  <c r="AH30" i="8"/>
  <c r="N17" i="8"/>
  <c r="AA23" i="8"/>
  <c r="M17" i="8"/>
  <c r="AG14" i="8"/>
  <c r="AG16" i="8" s="1"/>
  <c r="AG20" i="8"/>
  <c r="H17" i="8"/>
  <c r="H23" i="8"/>
  <c r="S17" i="8"/>
  <c r="U17" i="8"/>
  <c r="U23" i="8"/>
  <c r="F17" i="8"/>
  <c r="J23" i="8"/>
  <c r="AH28" i="8"/>
  <c r="C23" i="8"/>
  <c r="C24" i="8" s="1"/>
  <c r="X17" i="8"/>
  <c r="X23" i="8"/>
  <c r="E17" i="8"/>
  <c r="E23" i="8"/>
  <c r="K17" i="8"/>
  <c r="V17" i="8"/>
  <c r="Z23" i="8"/>
  <c r="AF17" i="8"/>
  <c r="AF23" i="8"/>
  <c r="M23" i="8"/>
  <c r="K23" i="8"/>
  <c r="AD17" i="8"/>
  <c r="AH26" i="8"/>
  <c r="AH25" i="8"/>
  <c r="G17" i="8"/>
  <c r="S23" i="8"/>
  <c r="L17" i="8"/>
  <c r="AB17" i="8"/>
  <c r="L23" i="8"/>
  <c r="AB23" i="8"/>
  <c r="AA17" i="8"/>
  <c r="I17" i="8"/>
  <c r="Y17" i="8"/>
  <c r="I23" i="8"/>
  <c r="Y23" i="8"/>
  <c r="W17" i="8"/>
  <c r="J17" i="8"/>
  <c r="Z17" i="8"/>
  <c r="N23" i="8"/>
  <c r="AD23" i="8"/>
  <c r="AH31" i="8"/>
  <c r="C6" i="2"/>
  <c r="AE17" i="8"/>
  <c r="D17" i="8"/>
  <c r="T17" i="8"/>
  <c r="D23" i="8"/>
  <c r="T23" i="8"/>
  <c r="C17" i="8"/>
  <c r="C18" i="8" s="1"/>
  <c r="O23" i="8"/>
  <c r="Q17" i="8"/>
  <c r="AG17" i="8"/>
  <c r="Q23" i="8"/>
  <c r="AG23" i="8"/>
  <c r="AG24" i="8" s="1"/>
  <c r="W23" i="8"/>
  <c r="R17" i="8"/>
  <c r="F23" i="8"/>
  <c r="V23" i="8"/>
  <c r="M27" i="8"/>
  <c r="AC27" i="8"/>
  <c r="W27" i="8"/>
  <c r="R27" i="8"/>
  <c r="K27" i="8"/>
  <c r="AE27" i="8"/>
  <c r="H27" i="8"/>
  <c r="AB27" i="8"/>
  <c r="AE23" i="8"/>
  <c r="AE24" i="8" s="1"/>
  <c r="I27" i="8"/>
  <c r="AG27" i="8"/>
  <c r="J27" i="8"/>
  <c r="AD27" i="8"/>
  <c r="T27" i="8"/>
  <c r="D27" i="8"/>
  <c r="M25" i="8"/>
  <c r="K25" i="8"/>
  <c r="N25" i="8"/>
  <c r="C25" i="8"/>
  <c r="AB25" i="8"/>
  <c r="D25" i="8"/>
  <c r="S26" i="8"/>
  <c r="M26" i="8"/>
  <c r="L26" i="8"/>
  <c r="AF26" i="8"/>
  <c r="AD26" i="8"/>
  <c r="J26" i="8"/>
  <c r="W28" i="8"/>
  <c r="P28" i="8"/>
  <c r="I28" i="8"/>
  <c r="J28" i="8"/>
  <c r="R28" i="8"/>
  <c r="C30" i="8"/>
  <c r="W30" i="8"/>
  <c r="AG30" i="8"/>
  <c r="T30" i="8"/>
  <c r="M30" i="8"/>
  <c r="V30" i="8"/>
  <c r="Q27" i="8"/>
  <c r="G27" i="8"/>
  <c r="N27" i="8"/>
  <c r="S27" i="8"/>
  <c r="AF27" i="8"/>
  <c r="X27" i="8"/>
  <c r="M29" i="8"/>
  <c r="AG29" i="8"/>
  <c r="V29" i="8"/>
  <c r="AA29" i="8"/>
  <c r="H29" i="8"/>
  <c r="P29" i="8"/>
  <c r="R31" i="8"/>
  <c r="P31" i="8"/>
  <c r="O31" i="8"/>
  <c r="D31" i="8"/>
  <c r="Y31" i="8"/>
  <c r="E31" i="8"/>
  <c r="U27" i="8"/>
  <c r="O27" i="8"/>
  <c r="V27" i="8"/>
  <c r="AA27" i="8"/>
  <c r="C27" i="8"/>
  <c r="E25" i="8"/>
  <c r="Y25" i="8"/>
  <c r="AA25" i="8"/>
  <c r="Z25" i="8"/>
  <c r="W25" i="8"/>
  <c r="X25" i="8"/>
  <c r="K26" i="8"/>
  <c r="AE26" i="8"/>
  <c r="AC26" i="8"/>
  <c r="X26" i="8"/>
  <c r="Y26" i="8"/>
  <c r="V26" i="8"/>
  <c r="O28" i="8"/>
  <c r="D28" i="8"/>
  <c r="X28" i="8"/>
  <c r="AG28" i="8"/>
  <c r="U28" i="8"/>
  <c r="AC28" i="8"/>
  <c r="O30" i="8"/>
  <c r="I30" i="8"/>
  <c r="H30" i="8"/>
  <c r="AF30" i="8"/>
  <c r="J30" i="8"/>
  <c r="AD30" i="8"/>
  <c r="Q29" i="8"/>
  <c r="F29" i="8"/>
  <c r="Z29" i="8"/>
  <c r="L29" i="8"/>
  <c r="D29" i="8"/>
  <c r="AF29" i="8"/>
  <c r="V31" i="8"/>
  <c r="AF31" i="8"/>
  <c r="S31" i="8"/>
  <c r="L31" i="8"/>
  <c r="U31" i="8"/>
  <c r="E27" i="8"/>
  <c r="Y27" i="8"/>
  <c r="F27" i="8"/>
  <c r="Z27" i="8"/>
  <c r="P27" i="8"/>
  <c r="L27" i="8"/>
  <c r="I25" i="8"/>
  <c r="AC25" i="8"/>
  <c r="J25" i="8"/>
  <c r="AD25" i="8"/>
  <c r="AE25" i="8"/>
  <c r="AF25" i="8"/>
  <c r="O26" i="8"/>
  <c r="C26" i="8"/>
  <c r="H26" i="8"/>
  <c r="AB26" i="8"/>
  <c r="AG26" i="8"/>
  <c r="F26" i="8"/>
  <c r="S28" i="8"/>
  <c r="H28" i="8"/>
  <c r="AF28" i="8"/>
  <c r="C28" i="8"/>
  <c r="F28" i="8"/>
  <c r="AD28" i="8"/>
  <c r="S30" i="8"/>
  <c r="Q30" i="8"/>
  <c r="P30" i="8"/>
  <c r="E30" i="8"/>
  <c r="Z30" i="8"/>
  <c r="U25" i="8"/>
  <c r="AA26" i="8"/>
  <c r="E29" i="8"/>
  <c r="U29" i="8"/>
  <c r="C29" i="8"/>
  <c r="R29" i="8"/>
  <c r="K29" i="8"/>
  <c r="T29" i="8"/>
  <c r="X29" i="8"/>
  <c r="AE29" i="8"/>
  <c r="J31" i="8"/>
  <c r="Z31" i="8"/>
  <c r="X31" i="8"/>
  <c r="K31" i="8"/>
  <c r="AA31" i="8"/>
  <c r="T31" i="8"/>
  <c r="Q31" i="8"/>
  <c r="AG31" i="8"/>
  <c r="K28" i="8"/>
  <c r="AA28" i="8"/>
  <c r="L28" i="8"/>
  <c r="AB28" i="8"/>
  <c r="Y28" i="8"/>
  <c r="Z28" i="8"/>
  <c r="V28" i="8"/>
  <c r="N28" i="8"/>
  <c r="K30" i="8"/>
  <c r="AA30" i="8"/>
  <c r="Y30" i="8"/>
  <c r="L30" i="8"/>
  <c r="AB30" i="8"/>
  <c r="U30" i="8"/>
  <c r="R30" i="8"/>
  <c r="F30" i="8"/>
  <c r="N30" i="8"/>
  <c r="AC30" i="8"/>
  <c r="X30" i="8"/>
  <c r="D30" i="8"/>
  <c r="AE30" i="8"/>
  <c r="G30" i="8"/>
  <c r="M28" i="8"/>
  <c r="E28" i="8"/>
  <c r="Q28" i="8"/>
  <c r="T28" i="8"/>
  <c r="AE28" i="8"/>
  <c r="G28" i="8"/>
  <c r="R26" i="8"/>
  <c r="Q26" i="8"/>
  <c r="P26" i="8"/>
  <c r="U26" i="8"/>
  <c r="H25" i="8"/>
  <c r="T25" i="8"/>
  <c r="O25" i="8"/>
  <c r="R25" i="8"/>
  <c r="S25" i="8"/>
  <c r="AC31" i="8"/>
  <c r="I31" i="8"/>
  <c r="AE31" i="8"/>
  <c r="G31" i="8"/>
  <c r="H31" i="8"/>
  <c r="N31" i="8"/>
  <c r="O29" i="8"/>
  <c r="W29" i="8"/>
  <c r="S29" i="8"/>
  <c r="N29" i="8"/>
  <c r="AC29" i="8"/>
  <c r="I29" i="8"/>
  <c r="M31" i="8"/>
  <c r="AB31" i="8"/>
  <c r="W31" i="8"/>
  <c r="C31" i="8"/>
  <c r="AD31" i="8"/>
  <c r="F31" i="8"/>
  <c r="AB29" i="8"/>
  <c r="G29" i="8"/>
  <c r="AD29" i="8"/>
  <c r="J29" i="8"/>
  <c r="Y29" i="8"/>
  <c r="Q25" i="8"/>
  <c r="AG25" i="8"/>
  <c r="F25" i="8"/>
  <c r="V25" i="8"/>
  <c r="G25" i="8"/>
  <c r="L25" i="8"/>
  <c r="P25" i="8"/>
  <c r="G26" i="8"/>
  <c r="W26" i="8"/>
  <c r="E26" i="8"/>
  <c r="D26" i="8"/>
  <c r="T26" i="8"/>
  <c r="I26" i="8"/>
  <c r="N26" i="8"/>
  <c r="Z26" i="8"/>
  <c r="V24" i="8" l="1"/>
  <c r="O24" i="8"/>
  <c r="T24" i="8"/>
  <c r="N24" i="8"/>
  <c r="Y24" i="8"/>
  <c r="L24" i="8"/>
  <c r="K24" i="8"/>
  <c r="AF24" i="8"/>
  <c r="Z24" i="8"/>
  <c r="H24" i="8"/>
  <c r="AC24" i="8"/>
  <c r="R24" i="8"/>
  <c r="P24" i="8"/>
  <c r="W24" i="8"/>
  <c r="Q24" i="8"/>
  <c r="AD24" i="8"/>
  <c r="I24" i="8"/>
  <c r="AB24" i="8"/>
  <c r="S24" i="8"/>
  <c r="M24" i="8"/>
  <c r="X24" i="8"/>
  <c r="J24" i="8"/>
  <c r="U24" i="8"/>
  <c r="AA24" i="8"/>
  <c r="K43" i="2"/>
  <c r="H43" i="2"/>
  <c r="H51" i="2" s="1"/>
  <c r="F24" i="8"/>
  <c r="G24" i="8"/>
  <c r="E24" i="8"/>
  <c r="D24" i="8"/>
  <c r="AG22" i="8"/>
  <c r="AG21" i="8"/>
  <c r="G6" i="2"/>
  <c r="K6" i="2" s="1"/>
  <c r="D6" i="2"/>
  <c r="N34" i="6"/>
  <c r="O34" i="6"/>
  <c r="H52" i="2"/>
  <c r="F52" i="2"/>
  <c r="F46" i="2"/>
  <c r="F47" i="2"/>
  <c r="F45" i="2"/>
  <c r="N31" i="6"/>
  <c r="O31" i="6"/>
  <c r="R46" i="2"/>
  <c r="T52" i="2"/>
  <c r="R45" i="2"/>
  <c r="R52" i="2"/>
  <c r="T51" i="2"/>
  <c r="R47" i="2"/>
  <c r="O9" i="6"/>
  <c r="J6" i="2"/>
  <c r="S6" i="2"/>
  <c r="P18" i="2"/>
  <c r="H19" i="2"/>
  <c r="D18" i="2"/>
  <c r="S25" i="6"/>
  <c r="N18" i="8"/>
  <c r="D18" i="8"/>
  <c r="AG15" i="8"/>
  <c r="E18" i="8"/>
  <c r="V18" i="8"/>
  <c r="AH32" i="8"/>
  <c r="AG32" i="8"/>
  <c r="L32" i="8"/>
  <c r="V32" i="8"/>
  <c r="AC18" i="8"/>
  <c r="Q18" i="8"/>
  <c r="T32" i="8"/>
  <c r="W18" i="8"/>
  <c r="AB18" i="8"/>
  <c r="I18" i="8"/>
  <c r="H18" i="8"/>
  <c r="R32" i="8"/>
  <c r="AH23" i="8"/>
  <c r="G18" i="8"/>
  <c r="T18" i="8"/>
  <c r="O18" i="8"/>
  <c r="AA18" i="8"/>
  <c r="L18" i="8"/>
  <c r="K18" i="8"/>
  <c r="J18" i="8"/>
  <c r="Z18" i="8"/>
  <c r="M18" i="8"/>
  <c r="U18" i="8"/>
  <c r="AH17" i="8"/>
  <c r="AH18" i="8" s="1"/>
  <c r="F18" i="8"/>
  <c r="R18" i="8"/>
  <c r="AG18" i="8"/>
  <c r="AF18" i="8"/>
  <c r="AE18" i="8"/>
  <c r="AD18" i="8"/>
  <c r="X18" i="8"/>
  <c r="Y18" i="8"/>
  <c r="P18" i="8"/>
  <c r="S18" i="8"/>
  <c r="J32" i="8"/>
  <c r="Z32" i="8"/>
  <c r="D32" i="8"/>
  <c r="K32" i="8"/>
  <c r="N20" i="8"/>
  <c r="T20" i="8"/>
  <c r="C20" i="8"/>
  <c r="J20" i="8"/>
  <c r="K20" i="8"/>
  <c r="F20" i="8"/>
  <c r="L20" i="8"/>
  <c r="P20" i="8"/>
  <c r="AD20" i="8"/>
  <c r="AC20" i="8"/>
  <c r="E20" i="8"/>
  <c r="AH19" i="8"/>
  <c r="G20" i="8"/>
  <c r="AA20" i="8"/>
  <c r="Y20" i="8"/>
  <c r="R20" i="8"/>
  <c r="M20" i="8"/>
  <c r="V20" i="8"/>
  <c r="O20" i="8"/>
  <c r="H20" i="8"/>
  <c r="S20" i="8"/>
  <c r="W20" i="8"/>
  <c r="D20" i="8"/>
  <c r="X20" i="8"/>
  <c r="AF20" i="8"/>
  <c r="AB20" i="8"/>
  <c r="I20" i="8"/>
  <c r="AE20" i="8"/>
  <c r="Z20" i="8"/>
  <c r="Q20" i="8"/>
  <c r="U20" i="8"/>
  <c r="P32" i="8"/>
  <c r="F32" i="8"/>
  <c r="O32" i="8"/>
  <c r="U32" i="8"/>
  <c r="AF32" i="8"/>
  <c r="AC32" i="8"/>
  <c r="AA32" i="8"/>
  <c r="AB32" i="8"/>
  <c r="M32" i="8"/>
  <c r="AE32" i="8"/>
  <c r="I32" i="8"/>
  <c r="X32" i="8"/>
  <c r="Y32" i="8"/>
  <c r="C32" i="8"/>
  <c r="G32" i="8"/>
  <c r="Q32" i="8"/>
  <c r="S32" i="8"/>
  <c r="H32" i="8"/>
  <c r="AD32" i="8"/>
  <c r="W32" i="8"/>
  <c r="E32" i="8"/>
  <c r="N32" i="8"/>
  <c r="F19" i="2" l="1"/>
  <c r="U22" i="8"/>
  <c r="U21" i="8"/>
  <c r="I22" i="8"/>
  <c r="I21" i="8"/>
  <c r="D22" i="8"/>
  <c r="D21" i="8"/>
  <c r="O21" i="8"/>
  <c r="O22" i="8"/>
  <c r="Y22" i="8"/>
  <c r="Y21" i="8"/>
  <c r="E21" i="8"/>
  <c r="E22" i="8"/>
  <c r="L21" i="8"/>
  <c r="L22" i="8"/>
  <c r="C21" i="8"/>
  <c r="C22" i="8"/>
  <c r="Q21" i="8"/>
  <c r="Q22" i="8"/>
  <c r="AB21" i="8"/>
  <c r="AB22" i="8"/>
  <c r="W21" i="8"/>
  <c r="W22" i="8"/>
  <c r="V22" i="8"/>
  <c r="V21" i="8"/>
  <c r="AA21" i="8"/>
  <c r="AA22" i="8"/>
  <c r="AC21" i="8"/>
  <c r="AC22" i="8"/>
  <c r="F22" i="8"/>
  <c r="F21" i="8"/>
  <c r="T21" i="8"/>
  <c r="T22" i="8"/>
  <c r="Z22" i="8"/>
  <c r="Z21" i="8"/>
  <c r="AF22" i="8"/>
  <c r="AF21" i="8"/>
  <c r="S21" i="8"/>
  <c r="S22" i="8"/>
  <c r="M22" i="8"/>
  <c r="M21" i="8"/>
  <c r="G21" i="8"/>
  <c r="G22" i="8"/>
  <c r="AD22" i="8"/>
  <c r="AD21" i="8"/>
  <c r="K21" i="8"/>
  <c r="K22" i="8"/>
  <c r="N21" i="8"/>
  <c r="N22" i="8"/>
  <c r="H6" i="2"/>
  <c r="H18" i="2" s="1"/>
  <c r="AE22" i="8"/>
  <c r="AE21" i="8"/>
  <c r="X22" i="8"/>
  <c r="X21" i="8"/>
  <c r="H21" i="8"/>
  <c r="H22" i="8"/>
  <c r="R22" i="8"/>
  <c r="R21" i="8"/>
  <c r="P22" i="8"/>
  <c r="P21" i="8"/>
  <c r="J22" i="8"/>
  <c r="J21" i="8"/>
  <c r="O47" i="6"/>
  <c r="R19" i="2"/>
  <c r="T6" i="2"/>
  <c r="T18" i="2" s="1"/>
  <c r="L6" i="2"/>
  <c r="J18" i="2" s="1"/>
  <c r="L17" i="2"/>
  <c r="J19" i="2"/>
  <c r="T19" i="2"/>
  <c r="AH24" i="8"/>
  <c r="O12" i="6"/>
  <c r="O25" i="6" s="1"/>
  <c r="P14" i="8"/>
  <c r="Z14" i="8"/>
  <c r="I14" i="8"/>
  <c r="S14" i="8"/>
  <c r="G14" i="8"/>
  <c r="AH13" i="8"/>
  <c r="H14" i="8"/>
  <c r="Q14" i="8"/>
  <c r="AA14" i="8"/>
  <c r="AF14" i="8"/>
  <c r="AD14" i="8"/>
  <c r="R14" i="8"/>
  <c r="C14" i="8"/>
  <c r="E14" i="8"/>
  <c r="D14" i="8"/>
  <c r="AE14" i="8"/>
  <c r="L14" i="8"/>
  <c r="O14" i="8"/>
  <c r="W14" i="8"/>
  <c r="U14" i="8"/>
  <c r="T14" i="8"/>
  <c r="X14" i="8"/>
  <c r="AB14" i="8"/>
  <c r="Y14" i="8"/>
  <c r="V14" i="8"/>
  <c r="K14" i="8"/>
  <c r="J14" i="8"/>
  <c r="N14" i="8"/>
  <c r="M14" i="8"/>
  <c r="F14" i="8"/>
  <c r="AC14" i="8"/>
  <c r="AH20" i="8"/>
  <c r="AB16" i="8" l="1"/>
  <c r="AB15" i="8"/>
  <c r="AD15" i="8"/>
  <c r="AD16" i="8"/>
  <c r="I16" i="8"/>
  <c r="I15" i="8"/>
  <c r="F16" i="8"/>
  <c r="F15" i="8"/>
  <c r="K16" i="8"/>
  <c r="K15" i="8"/>
  <c r="X16" i="8"/>
  <c r="X15" i="8"/>
  <c r="O15" i="8"/>
  <c r="O16" i="8"/>
  <c r="E15" i="8"/>
  <c r="E16" i="8"/>
  <c r="AF15" i="8"/>
  <c r="AF16" i="8"/>
  <c r="Z16" i="8"/>
  <c r="Z15" i="8"/>
  <c r="AC15" i="8"/>
  <c r="AC16" i="8"/>
  <c r="J16" i="8"/>
  <c r="J15" i="8"/>
  <c r="W16" i="8"/>
  <c r="W15" i="8"/>
  <c r="D15" i="8"/>
  <c r="D16" i="8"/>
  <c r="H15" i="8"/>
  <c r="H16" i="8"/>
  <c r="M16" i="8"/>
  <c r="M15" i="8"/>
  <c r="V15" i="8"/>
  <c r="V16" i="8"/>
  <c r="T16" i="8"/>
  <c r="T15" i="8"/>
  <c r="L15" i="8"/>
  <c r="L16" i="8"/>
  <c r="C16" i="8"/>
  <c r="C15" i="8"/>
  <c r="AA16" i="8"/>
  <c r="AA15" i="8"/>
  <c r="G15" i="8"/>
  <c r="G16" i="8"/>
  <c r="P16" i="8"/>
  <c r="P15" i="8"/>
  <c r="N16" i="8"/>
  <c r="N15" i="8"/>
  <c r="Y16" i="8"/>
  <c r="Y15" i="8"/>
  <c r="U16" i="8"/>
  <c r="U15" i="8"/>
  <c r="AE15" i="8"/>
  <c r="AE16" i="8"/>
  <c r="R16" i="8"/>
  <c r="R15" i="8"/>
  <c r="Q16" i="8"/>
  <c r="Q15" i="8"/>
  <c r="S15" i="8"/>
  <c r="S16" i="8"/>
  <c r="F37" i="4"/>
  <c r="P44" i="4"/>
  <c r="H45" i="4"/>
  <c r="B75" i="4"/>
  <c r="K51" i="2"/>
  <c r="N68" i="4"/>
  <c r="J45" i="4"/>
  <c r="G46" i="4"/>
  <c r="B44" i="4"/>
  <c r="F33" i="4"/>
  <c r="B25" i="4"/>
  <c r="N67" i="4"/>
  <c r="K33" i="2"/>
  <c r="P74" i="4"/>
  <c r="J47" i="4"/>
  <c r="K6" i="4"/>
  <c r="G43" i="4"/>
  <c r="G74" i="4"/>
  <c r="K45" i="4"/>
  <c r="K49" i="2"/>
  <c r="K46" i="2"/>
  <c r="G72" i="4"/>
  <c r="B21" i="4"/>
  <c r="P43" i="4"/>
  <c r="N36" i="4"/>
  <c r="P75" i="4"/>
  <c r="K31" i="2"/>
  <c r="F67" i="4"/>
  <c r="N37" i="4"/>
  <c r="F73" i="4"/>
  <c r="B25" i="2"/>
  <c r="K34" i="2"/>
  <c r="C25" i="4"/>
  <c r="K28" i="2"/>
  <c r="B54" i="4"/>
  <c r="N33" i="4"/>
  <c r="F35" i="4"/>
  <c r="P47" i="2"/>
  <c r="F45" i="4"/>
  <c r="F64" i="4"/>
  <c r="P73" i="4"/>
  <c r="B73" i="4"/>
  <c r="B76" i="4"/>
  <c r="N38" i="4"/>
  <c r="C54" i="4"/>
  <c r="N63" i="4"/>
  <c r="G75" i="4"/>
  <c r="K50" i="2"/>
  <c r="G44" i="4"/>
  <c r="P72" i="4"/>
  <c r="F36" i="4"/>
  <c r="F65" i="4"/>
  <c r="J54" i="4"/>
  <c r="K54" i="4"/>
  <c r="F75" i="4"/>
  <c r="C6" i="4"/>
  <c r="H76" i="4"/>
  <c r="J25" i="4"/>
  <c r="P45" i="2"/>
  <c r="F76" i="4"/>
  <c r="F47" i="4"/>
  <c r="J74" i="4"/>
  <c r="N25" i="2"/>
  <c r="P45" i="4"/>
  <c r="H46" i="4"/>
  <c r="H72" i="4"/>
  <c r="B45" i="4"/>
  <c r="H75" i="4"/>
  <c r="B47" i="4"/>
  <c r="J73" i="4"/>
  <c r="B43" i="4"/>
  <c r="H44" i="4"/>
  <c r="G73" i="4"/>
  <c r="N34" i="4"/>
  <c r="K46" i="4"/>
  <c r="J75" i="4"/>
  <c r="J43" i="4"/>
  <c r="G76" i="4"/>
  <c r="F66" i="4"/>
  <c r="N66" i="4"/>
  <c r="K25" i="4"/>
  <c r="J72" i="4"/>
  <c r="P46" i="2"/>
  <c r="K47" i="2"/>
  <c r="B50" i="4"/>
  <c r="B72" i="4"/>
  <c r="G47" i="4"/>
  <c r="H43" i="4"/>
  <c r="K30" i="2"/>
  <c r="F39" i="4"/>
  <c r="K32" i="2"/>
  <c r="J46" i="4"/>
  <c r="P71" i="4"/>
  <c r="H73" i="4"/>
  <c r="K72" i="4"/>
  <c r="K75" i="4"/>
  <c r="D46" i="2"/>
  <c r="B74" i="4"/>
  <c r="D45" i="2"/>
  <c r="F38" i="4"/>
  <c r="K52" i="2"/>
  <c r="F63" i="4"/>
  <c r="D47" i="2"/>
  <c r="F43" i="4"/>
  <c r="F68" i="4"/>
  <c r="N62" i="4"/>
  <c r="K44" i="4"/>
  <c r="F44" i="4"/>
  <c r="K74" i="4"/>
  <c r="K43" i="4"/>
  <c r="F62" i="4"/>
  <c r="N39" i="4"/>
  <c r="B21" i="2"/>
  <c r="J44" i="4"/>
  <c r="B46" i="4"/>
  <c r="J76" i="4"/>
  <c r="P46" i="4"/>
  <c r="G45" i="4"/>
  <c r="O25" i="2"/>
  <c r="F74" i="4"/>
  <c r="K29" i="2"/>
  <c r="K48" i="2"/>
  <c r="H47" i="4"/>
  <c r="P42" i="4"/>
  <c r="H74" i="4"/>
  <c r="N64" i="4"/>
  <c r="N65" i="4"/>
  <c r="F34" i="4"/>
  <c r="N35" i="4"/>
  <c r="K76" i="4"/>
  <c r="F72" i="4"/>
  <c r="K73" i="4"/>
  <c r="C25" i="2"/>
  <c r="F46" i="4"/>
  <c r="K47" i="4"/>
  <c r="D33" i="2" l="1"/>
  <c r="D25" i="2"/>
  <c r="G25" i="2"/>
  <c r="P32" i="2"/>
  <c r="R25" i="2"/>
  <c r="T32" i="2" s="1"/>
  <c r="P35" i="4"/>
  <c r="H34" i="4"/>
  <c r="P65" i="4"/>
  <c r="P64" i="4"/>
  <c r="N25" i="4"/>
  <c r="P47" i="4"/>
  <c r="D6" i="4"/>
  <c r="G6" i="4"/>
  <c r="H6" i="4" s="1"/>
  <c r="L48" i="2"/>
  <c r="L29" i="2"/>
  <c r="L54" i="4"/>
  <c r="O54" i="4"/>
  <c r="N54" i="4"/>
  <c r="P25" i="2"/>
  <c r="S25" i="2"/>
  <c r="P33" i="2"/>
  <c r="H65" i="4"/>
  <c r="H36" i="4"/>
  <c r="L50" i="2"/>
  <c r="P63" i="4"/>
  <c r="P39" i="4"/>
  <c r="G54" i="4"/>
  <c r="D54" i="4"/>
  <c r="H62" i="4"/>
  <c r="P38" i="4"/>
  <c r="H64" i="4"/>
  <c r="P62" i="4"/>
  <c r="H68" i="4"/>
  <c r="H35" i="4"/>
  <c r="P33" i="4"/>
  <c r="H63" i="4"/>
  <c r="F54" i="4"/>
  <c r="L52" i="2"/>
  <c r="L28" i="2"/>
  <c r="H38" i="4"/>
  <c r="G25" i="4"/>
  <c r="D25" i="4"/>
  <c r="L34" i="2"/>
  <c r="D32" i="2"/>
  <c r="F25" i="2"/>
  <c r="H32" i="2" s="1"/>
  <c r="P37" i="4"/>
  <c r="H67" i="4"/>
  <c r="L31" i="2"/>
  <c r="P76" i="4"/>
  <c r="P36" i="4"/>
  <c r="L32" i="2"/>
  <c r="H39" i="4"/>
  <c r="L30" i="2"/>
  <c r="L46" i="2"/>
  <c r="L49" i="2"/>
  <c r="L47" i="2"/>
  <c r="L6" i="4"/>
  <c r="O6" i="4"/>
  <c r="P6" i="4" s="1"/>
  <c r="L25" i="4"/>
  <c r="O25" i="4"/>
  <c r="P66" i="4"/>
  <c r="L33" i="2"/>
  <c r="H66" i="4"/>
  <c r="P67" i="4"/>
  <c r="F25" i="4"/>
  <c r="H33" i="4"/>
  <c r="P34" i="4"/>
  <c r="P68" i="4"/>
  <c r="L51" i="2"/>
  <c r="H37" i="4"/>
  <c r="D29" i="2"/>
  <c r="P29" i="2"/>
  <c r="P27" i="2"/>
  <c r="D29" i="4"/>
  <c r="D28" i="2"/>
  <c r="P28" i="2"/>
  <c r="D58" i="4"/>
  <c r="D27" i="4"/>
  <c r="D57" i="4"/>
  <c r="D28" i="4"/>
  <c r="D27" i="2"/>
  <c r="D56" i="4"/>
  <c r="P25" i="4" l="1"/>
  <c r="N27" i="4"/>
  <c r="N29" i="4"/>
  <c r="N28" i="4"/>
  <c r="J43" i="2"/>
  <c r="F27" i="4"/>
  <c r="F28" i="4"/>
  <c r="H25" i="4"/>
  <c r="F29" i="4"/>
  <c r="J25" i="2"/>
  <c r="N58" i="4"/>
  <c r="P54" i="4"/>
  <c r="N56" i="4"/>
  <c r="N57" i="4"/>
  <c r="F27" i="2"/>
  <c r="F34" i="2"/>
  <c r="H34" i="2"/>
  <c r="K25" i="2"/>
  <c r="F29" i="2"/>
  <c r="F28" i="2"/>
  <c r="H25" i="2"/>
  <c r="H33" i="2" s="1"/>
  <c r="F57" i="4"/>
  <c r="H54" i="4"/>
  <c r="F58" i="4"/>
  <c r="F56" i="4"/>
  <c r="T25" i="2"/>
  <c r="T33" i="2" s="1"/>
  <c r="T34" i="2"/>
  <c r="R27" i="2"/>
  <c r="R34" i="2"/>
  <c r="R29" i="2"/>
  <c r="R28" i="2"/>
  <c r="L56" i="4"/>
  <c r="L27" i="4"/>
  <c r="L57" i="4"/>
  <c r="L28" i="4"/>
  <c r="L58" i="4"/>
  <c r="L29" i="4"/>
  <c r="N37" i="2" l="1"/>
  <c r="D37" i="2"/>
  <c r="L25" i="2"/>
  <c r="H37" i="2" s="1"/>
  <c r="J37" i="2"/>
  <c r="L43" i="2"/>
  <c r="H55" i="2" s="1"/>
  <c r="D55" i="2"/>
  <c r="N55" i="2"/>
  <c r="J55" i="2"/>
  <c r="R55" i="2" l="1"/>
  <c r="R37" i="2"/>
</calcChain>
</file>

<file path=xl/sharedStrings.xml><?xml version="1.0" encoding="utf-8"?>
<sst xmlns="http://schemas.openxmlformats.org/spreadsheetml/2006/main" count="453" uniqueCount="138">
  <si>
    <t>Цель</t>
  </si>
  <si>
    <t>Факт</t>
  </si>
  <si>
    <t>% вып.</t>
  </si>
  <si>
    <t>Заявки</t>
  </si>
  <si>
    <t>К-во</t>
  </si>
  <si>
    <t>План</t>
  </si>
  <si>
    <t>Продай еще на</t>
  </si>
  <si>
    <t>чтобы достичь порога</t>
  </si>
  <si>
    <t xml:space="preserve">и получить бонус </t>
  </si>
  <si>
    <t>III</t>
  </si>
  <si>
    <t>II</t>
  </si>
  <si>
    <t>Порог</t>
  </si>
  <si>
    <t>К выплате</t>
  </si>
  <si>
    <t>Цена</t>
  </si>
  <si>
    <t>Карма</t>
  </si>
  <si>
    <t>Прогресс выполнения плана по менеджерам</t>
  </si>
  <si>
    <t>Рабочие дни менеджера:</t>
  </si>
  <si>
    <t>Итого:</t>
  </si>
  <si>
    <t>Хорошие дела</t>
  </si>
  <si>
    <t>Продажи туров</t>
  </si>
  <si>
    <t>порог</t>
  </si>
  <si>
    <t>I</t>
  </si>
  <si>
    <t>цель</t>
  </si>
  <si>
    <t>бонус</t>
  </si>
  <si>
    <t>Плохие дела</t>
  </si>
  <si>
    <t>Индивидуальные задания</t>
  </si>
  <si>
    <t>Минимум</t>
  </si>
  <si>
    <t>Итого к выплате:</t>
  </si>
  <si>
    <t>Индивидуальные задания:</t>
  </si>
  <si>
    <t>Итого</t>
  </si>
  <si>
    <t>Нашел ошибку или внес конструктивную идею по доработке сайта</t>
  </si>
  <si>
    <t>Добавил новую информацию на сайт или обновил существующую</t>
  </si>
  <si>
    <t>Взял отзыв у клиента или рекомендацию у клиента</t>
  </si>
  <si>
    <t>Выход на работу в выходной или праздничный день</t>
  </si>
  <si>
    <t>Заполнение полной информации об отеле в таблице отелей</t>
  </si>
  <si>
    <t>Подготовил презентацию или доклад по направлению</t>
  </si>
  <si>
    <t>Подготовил выпуск рассылки</t>
  </si>
  <si>
    <t>Опоздал на работу</t>
  </si>
  <si>
    <t>Опоздал на работу не предупредив об этом по телефону</t>
  </si>
  <si>
    <t>Негативный отзыв клиента о работе менеджера</t>
  </si>
  <si>
    <t>Допущенна ошибка в договоре с туристом</t>
  </si>
  <si>
    <t>Не внесена информация о взаимодействии с клиентом в CRM</t>
  </si>
  <si>
    <t>Не знание рекламных акций турагентства</t>
  </si>
  <si>
    <t>В CRM указан не корректный источник рекламы</t>
  </si>
  <si>
    <t>Итого карма:</t>
  </si>
  <si>
    <t>Базовый оклад:</t>
  </si>
  <si>
    <t>по турам:</t>
  </si>
  <si>
    <t>% выполнения</t>
  </si>
  <si>
    <t>Бонус</t>
  </si>
  <si>
    <t>Бонус за продажи туров:</t>
  </si>
  <si>
    <t>Мои индивидуальные задания</t>
  </si>
  <si>
    <t>Моя карма:</t>
  </si>
  <si>
    <t>Мой оклад:</t>
  </si>
  <si>
    <t>Бонус за продажи дополнительных услуг:</t>
  </si>
  <si>
    <t>Бонус за выполнение индивидуальных заданий:</t>
  </si>
  <si>
    <t>Продай допов еще на</t>
  </si>
  <si>
    <t>Продай туров еще на</t>
  </si>
  <si>
    <t>Легенда</t>
  </si>
  <si>
    <t>Типы заявок</t>
  </si>
  <si>
    <t>Вес</t>
  </si>
  <si>
    <t>Штраф</t>
  </si>
  <si>
    <t>Зашли с улицы</t>
  </si>
  <si>
    <t>По рекомендации</t>
  </si>
  <si>
    <t>Постоянные клиенты</t>
  </si>
  <si>
    <t>Ноябрь</t>
  </si>
  <si>
    <t>Системные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</si>
  <si>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</si>
  <si>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</si>
  <si>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</si>
  <si>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</si>
  <si>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</si>
  <si>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</si>
  <si>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</si>
  <si>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</si>
  <si>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</si>
  <si>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</si>
  <si>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</si>
  <si>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</si>
  <si>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Прибыль по турам</t>
  </si>
  <si>
    <t>Первое число месяца</t>
  </si>
  <si>
    <t>Прибыль по допам</t>
  </si>
  <si>
    <t>Сверхплан</t>
  </si>
  <si>
    <t>ВСЕГО</t>
  </si>
  <si>
    <t>Прибыль по турам план</t>
  </si>
  <si>
    <t>Прибыль по допам план</t>
  </si>
  <si>
    <t>Нарастающий итог</t>
  </si>
  <si>
    <t>ФАКТЕРИЗАЦИЯ</t>
  </si>
  <si>
    <t>Заявки всего</t>
  </si>
  <si>
    <t>Факт/План</t>
  </si>
  <si>
    <t>Кол-во заявок</t>
  </si>
  <si>
    <t>Нарастающий итог - 25%</t>
  </si>
  <si>
    <t>Нарастающий итог +25%</t>
  </si>
  <si>
    <t>orders</t>
  </si>
  <si>
    <t>dops</t>
  </si>
  <si>
    <t>План продаж на</t>
  </si>
  <si>
    <t>Продажи допов</t>
  </si>
  <si>
    <t>План продаж по дополнительным услугам:</t>
  </si>
  <si>
    <t>прогр. %</t>
  </si>
  <si>
    <t>Бонус менеджера</t>
  </si>
  <si>
    <t>Порог плана по турам</t>
  </si>
  <si>
    <t>Соцсети</t>
  </si>
  <si>
    <t>Сайт (директ)</t>
  </si>
  <si>
    <t>Сайт (SEO)</t>
  </si>
  <si>
    <t>Instagram</t>
  </si>
  <si>
    <t>Порог плана по допам</t>
  </si>
  <si>
    <t>Календарные дни</t>
  </si>
  <si>
    <t>Средний чек:</t>
  </si>
  <si>
    <t>Используется в расчете плана по заявкам</t>
  </si>
  <si>
    <t>Моя карма</t>
  </si>
  <si>
    <t>Количество</t>
  </si>
  <si>
    <t>Вклад менеджера</t>
  </si>
  <si>
    <t>Цель+</t>
  </si>
  <si>
    <t>Цель++</t>
  </si>
  <si>
    <t>МегаЦель</t>
  </si>
  <si>
    <t>Мы продали туров на</t>
  </si>
  <si>
    <t>План нарастающим итогом выполнен на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</si>
  <si>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</si>
  <si>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</si>
  <si>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</si>
  <si>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</si>
  <si>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</si>
  <si>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</si>
  <si>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</si>
  <si>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</si>
  <si>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</si>
  <si>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</si>
  <si>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</si>
  <si>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</si>
  <si>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r>
      <t xml:space="preserve">Командный план по допам на Ноябрь </t>
    </r>
    <r>
      <rPr>
        <b/>
        <i/>
        <sz val="14"/>
        <color theme="1"/>
        <rFont val="Calibri"/>
        <family val="2"/>
        <scheme val="minor"/>
      </rPr>
      <t>500 000 Р</t>
    </r>
  </si>
  <si>
    <t>Мы продали допов на</t>
  </si>
  <si>
    <t>Продано туров на</t>
  </si>
  <si>
    <t>Эффективность менеджера</t>
  </si>
  <si>
    <t>Продано допов на</t>
  </si>
  <si>
    <t>Планируемый год</t>
  </si>
  <si>
    <t>Факт туры</t>
  </si>
  <si>
    <t>Факт допы</t>
  </si>
  <si>
    <t>Менеджер Васильева М.А.</t>
  </si>
  <si>
    <t>Менеджер Антоненко Н.Л.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</si>
</sst>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;;"/>
    <numFmt numFmtId="166" formatCode="General;;;"/>
    <numFmt numFmtId="167" formatCode="#,##0\ &quot;₽&quot;;;;"/>
    <numFmt numFmtId="168" formatCode="#,##0\ &quot;₽&quot;;;"/>
    <numFmt numFmtId="169" formatCode="#,##0;;;"/>
    <numFmt numFmtId="170" formatCode="#,##0\ [$₽-419]"/>
    <numFmt numFmtId="171" formatCode=";;;"/>
    <numFmt numFmtId="172" formatCode="#,##0\ \₽;\-#,##0\ \₽;\ 0\₽"/>
  </numFmts>
  <fonts count="5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 tint="0.249977111117893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 tint="0.249977111117893"/>
      <name val="Calibri"/>
      <family val="2"/>
      <scheme val="minor"/>
    </font>
    <font>
      <b/>
      <sz val="26"/>
      <color theme="1" tint="0.249977111117893"/>
      <name val="Calibri"/>
      <family val="2"/>
      <scheme val="minor"/>
    </font>
    <font>
      <i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rgb="FF00B050"/>
      <name val="Calibri"/>
      <family val="2"/>
      <charset val="204"/>
      <scheme val="minor"/>
    </font>
    <font>
      <b/>
      <sz val="36"/>
      <color theme="1" tint="0.249977111117893"/>
      <name val="Calibri"/>
      <family val="2"/>
      <scheme val="minor"/>
    </font>
    <font>
      <i/>
      <sz val="18"/>
      <color theme="1"/>
      <name val="Calibri"/>
      <family val="2"/>
      <charset val="204"/>
      <scheme val="minor"/>
    </font>
    <font>
      <b/>
      <sz val="18"/>
      <color rgb="FF00B050"/>
      <name val="Calibri"/>
      <family val="2"/>
      <charset val="204"/>
      <scheme val="minor"/>
    </font>
    <font>
      <sz val="24"/>
      <color theme="1"/>
      <name val="Calibri"/>
      <family val="2"/>
      <scheme val="minor"/>
    </font>
    <font>
      <b/>
      <sz val="48"/>
      <color theme="1" tint="0.249977111117893"/>
      <name val="Calibri"/>
      <family val="2"/>
      <scheme val="minor"/>
    </font>
    <font>
      <i/>
      <sz val="16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rgb="FFFF0000"/>
      <name val="Calibri"/>
      <family val="2"/>
      <charset val="204"/>
      <scheme val="minor"/>
    </font>
    <font>
      <i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rgb="FF00206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9" fillId="11" borderId="67" applyNumberFormat="0" applyFont="0" applyAlignment="0" applyProtection="0"/>
  </cellStyleXfs>
  <cellXfs count="368">
    <xf numFmtId="0" fontId="0" fillId="0" borderId="0" xfId="0"/>
    <xf numFmtId="0" fontId="0" fillId="0" borderId="0" xfId="0" applyBorder="1"/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15" fillId="3" borderId="32" xfId="0" applyFont="1" applyFill="1" applyBorder="1" applyAlignment="1">
      <alignment horizontal="left" vertical="center"/>
    </xf>
    <xf numFmtId="0" fontId="15" fillId="3" borderId="33" xfId="0" applyFont="1" applyFill="1" applyBorder="1" applyAlignment="1">
      <alignment horizontal="left" vertical="center"/>
    </xf>
    <xf numFmtId="0" fontId="15" fillId="3" borderId="42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6" borderId="0" xfId="0" applyFill="1"/>
    <xf numFmtId="0" fontId="1" fillId="6" borderId="0" xfId="0" applyFont="1" applyFill="1" applyAlignment="1">
      <alignment horizontal="center" vertical="center"/>
    </xf>
    <xf numFmtId="0" fontId="5" fillId="6" borderId="0" xfId="0" applyFont="1" applyFill="1" applyBorder="1"/>
    <xf numFmtId="0" fontId="0" fillId="0" borderId="0" xfId="0" applyFill="1"/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/>
    </xf>
    <xf numFmtId="9" fontId="21" fillId="5" borderId="11" xfId="0" applyNumberFormat="1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indent="1"/>
    </xf>
    <xf numFmtId="0" fontId="22" fillId="6" borderId="0" xfId="0" applyFont="1" applyFill="1" applyBorder="1"/>
    <xf numFmtId="9" fontId="25" fillId="5" borderId="11" xfId="0" applyNumberFormat="1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0" fillId="6" borderId="13" xfId="0" applyFill="1" applyBorder="1" applyAlignment="1">
      <alignment vertical="center"/>
    </xf>
    <xf numFmtId="0" fontId="1" fillId="6" borderId="45" xfId="0" applyFont="1" applyFill="1" applyBorder="1" applyAlignment="1">
      <alignment vertical="center"/>
    </xf>
    <xf numFmtId="0" fontId="28" fillId="6" borderId="0" xfId="0" applyFont="1" applyFill="1" applyAlignment="1">
      <alignment horizontal="center"/>
    </xf>
    <xf numFmtId="9" fontId="29" fillId="5" borderId="11" xfId="0" applyNumberFormat="1" applyFont="1" applyFill="1" applyBorder="1" applyAlignment="1">
      <alignment horizontal="center" vertical="center"/>
    </xf>
    <xf numFmtId="0" fontId="0" fillId="6" borderId="36" xfId="0" applyFill="1" applyBorder="1"/>
    <xf numFmtId="0" fontId="0" fillId="0" borderId="0" xfId="0" applyBorder="1" applyAlignment="1">
      <alignment horizontal="left" inden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" fontId="5" fillId="4" borderId="5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3" borderId="22" xfId="0" applyFont="1" applyFill="1" applyBorder="1"/>
    <xf numFmtId="0" fontId="8" fillId="3" borderId="20" xfId="0" applyFont="1" applyFill="1" applyBorder="1"/>
    <xf numFmtId="0" fontId="8" fillId="3" borderId="20" xfId="0" quotePrefix="1" applyFont="1" applyFill="1" applyBorder="1"/>
    <xf numFmtId="0" fontId="8" fillId="3" borderId="31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3" fontId="9" fillId="3" borderId="26" xfId="0" applyNumberFormat="1" applyFont="1" applyFill="1" applyBorder="1" applyAlignment="1">
      <alignment horizontal="center" vertical="center"/>
    </xf>
    <xf numFmtId="0" fontId="8" fillId="3" borderId="16" xfId="0" applyFont="1" applyFill="1" applyBorder="1"/>
    <xf numFmtId="0" fontId="5" fillId="0" borderId="43" xfId="0" applyFont="1" applyFill="1" applyBorder="1" applyAlignment="1">
      <alignment horizontal="center" vertical="center"/>
    </xf>
    <xf numFmtId="3" fontId="5" fillId="4" borderId="14" xfId="0" applyNumberFormat="1" applyFont="1" applyFill="1" applyBorder="1" applyAlignment="1">
      <alignment horizontal="center" vertical="center"/>
    </xf>
    <xf numFmtId="3" fontId="9" fillId="3" borderId="43" xfId="0" applyNumberFormat="1" applyFont="1" applyFill="1" applyBorder="1" applyAlignment="1">
      <alignment horizontal="center" vertical="center"/>
    </xf>
    <xf numFmtId="0" fontId="30" fillId="6" borderId="0" xfId="0" applyFont="1" applyFill="1"/>
    <xf numFmtId="166" fontId="0" fillId="0" borderId="27" xfId="0" applyNumberForma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3" fontId="0" fillId="0" borderId="0" xfId="0" applyNumberFormat="1"/>
    <xf numFmtId="3" fontId="9" fillId="3" borderId="11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8" fontId="0" fillId="3" borderId="11" xfId="0" applyNumberFormat="1" applyFill="1" applyBorder="1" applyAlignment="1">
      <alignment horizontal="center"/>
    </xf>
    <xf numFmtId="0" fontId="14" fillId="3" borderId="11" xfId="0" applyFont="1" applyFill="1" applyBorder="1"/>
    <xf numFmtId="9" fontId="0" fillId="8" borderId="0" xfId="0" applyNumberFormat="1" applyFill="1" applyAlignment="1">
      <alignment horizontal="center"/>
    </xf>
    <xf numFmtId="169" fontId="0" fillId="3" borderId="11" xfId="0" applyNumberFormat="1" applyFill="1" applyBorder="1" applyAlignment="1">
      <alignment horizontal="center"/>
    </xf>
    <xf numFmtId="0" fontId="32" fillId="0" borderId="0" xfId="0" applyFont="1"/>
    <xf numFmtId="9" fontId="0" fillId="0" borderId="0" xfId="0" applyNumberFormat="1" applyFill="1" applyAlignment="1">
      <alignment horizontal="center"/>
    </xf>
    <xf numFmtId="0" fontId="32" fillId="6" borderId="0" xfId="0" applyFont="1" applyFill="1"/>
    <xf numFmtId="0" fontId="34" fillId="2" borderId="28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left" vertical="center" indent="1"/>
    </xf>
    <xf numFmtId="0" fontId="33" fillId="3" borderId="11" xfId="0" applyFont="1" applyFill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horizontal="left" vertical="center" wrapText="1" indent="1"/>
    </xf>
    <xf numFmtId="0" fontId="10" fillId="6" borderId="0" xfId="0" applyFont="1" applyFill="1" applyBorder="1" applyAlignment="1">
      <alignment horizontal="left" vertical="center" indent="1"/>
    </xf>
    <xf numFmtId="0" fontId="11" fillId="6" borderId="0" xfId="0" applyFont="1" applyFill="1" applyBorder="1" applyAlignment="1">
      <alignment horizontal="center" vertical="center"/>
    </xf>
    <xf numFmtId="0" fontId="0" fillId="6" borderId="13" xfId="0" applyFill="1" applyBorder="1"/>
    <xf numFmtId="0" fontId="33" fillId="6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37" fillId="2" borderId="15" xfId="0" applyFont="1" applyFill="1" applyBorder="1" applyAlignment="1">
      <alignment horizontal="center" vertical="center"/>
    </xf>
    <xf numFmtId="0" fontId="37" fillId="2" borderId="2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0" fontId="11" fillId="2" borderId="4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19" xfId="0" applyFont="1" applyBorder="1"/>
    <xf numFmtId="0" fontId="0" fillId="0" borderId="19" xfId="0" applyFont="1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left"/>
    </xf>
    <xf numFmtId="0" fontId="11" fillId="6" borderId="13" xfId="0" applyFont="1" applyFill="1" applyBorder="1" applyAlignment="1">
      <alignment horizontal="center" vertical="center"/>
    </xf>
    <xf numFmtId="0" fontId="11" fillId="6" borderId="13" xfId="0" applyFont="1" applyFill="1" applyBorder="1"/>
    <xf numFmtId="0" fontId="0" fillId="6" borderId="13" xfId="0" applyFont="1" applyFill="1" applyBorder="1"/>
    <xf numFmtId="0" fontId="0" fillId="6" borderId="13" xfId="0" applyFont="1" applyFill="1" applyBorder="1" applyAlignment="1">
      <alignment horizontal="left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3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indent="1"/>
    </xf>
    <xf numFmtId="14" fontId="0" fillId="3" borderId="33" xfId="0" applyNumberFormat="1" applyFill="1" applyBorder="1" applyAlignment="1">
      <alignment horizontal="center"/>
    </xf>
    <xf numFmtId="0" fontId="34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center" indent="1"/>
    </xf>
    <xf numFmtId="0" fontId="37" fillId="2" borderId="11" xfId="0" applyFont="1" applyFill="1" applyBorder="1" applyAlignment="1">
      <alignment horizontal="center"/>
    </xf>
    <xf numFmtId="0" fontId="34" fillId="2" borderId="11" xfId="0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0" fillId="3" borderId="11" xfId="0" applyFill="1" applyBorder="1"/>
    <xf numFmtId="9" fontId="0" fillId="3" borderId="11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11" xfId="0" applyFill="1" applyBorder="1" applyAlignment="1">
      <alignment horizontal="left"/>
    </xf>
    <xf numFmtId="170" fontId="0" fillId="3" borderId="11" xfId="0" applyNumberFormat="1" applyFont="1" applyFill="1" applyBorder="1" applyAlignment="1">
      <alignment horizontal="center" vertical="center"/>
    </xf>
    <xf numFmtId="0" fontId="44" fillId="6" borderId="0" xfId="0" applyFont="1" applyFill="1"/>
    <xf numFmtId="0" fontId="12" fillId="0" borderId="0" xfId="0" applyFont="1" applyFill="1" applyBorder="1" applyAlignment="1">
      <alignment horizontal="left" vertical="center" indent="1"/>
    </xf>
    <xf numFmtId="0" fontId="40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 indent="1"/>
    </xf>
    <xf numFmtId="166" fontId="2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166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2" fontId="38" fillId="10" borderId="26" xfId="0" applyNumberFormat="1" applyFont="1" applyFill="1" applyBorder="1" applyAlignment="1">
      <alignment horizontal="center" vertical="center"/>
    </xf>
    <xf numFmtId="2" fontId="38" fillId="10" borderId="8" xfId="0" applyNumberFormat="1" applyFont="1" applyFill="1" applyBorder="1" applyAlignment="1">
      <alignment horizontal="center" vertical="center"/>
    </xf>
    <xf numFmtId="2" fontId="36" fillId="10" borderId="8" xfId="0" applyNumberFormat="1" applyFont="1" applyFill="1" applyBorder="1" applyAlignment="1">
      <alignment horizontal="center" vertical="center"/>
    </xf>
    <xf numFmtId="2" fontId="36" fillId="10" borderId="51" xfId="0" applyNumberFormat="1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horizontal="center" vertical="center"/>
    </xf>
    <xf numFmtId="0" fontId="24" fillId="6" borderId="0" xfId="0" applyFont="1" applyFill="1"/>
    <xf numFmtId="167" fontId="0" fillId="0" borderId="11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0" fontId="40" fillId="6" borderId="0" xfId="0" applyFont="1" applyFill="1" applyAlignment="1"/>
    <xf numFmtId="1" fontId="0" fillId="0" borderId="27" xfId="0" applyNumberFormat="1" applyFill="1" applyBorder="1" applyAlignment="1">
      <alignment horizontal="center" vertical="center"/>
    </xf>
    <xf numFmtId="9" fontId="25" fillId="12" borderId="11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7" borderId="11" xfId="0" applyFont="1" applyFill="1" applyBorder="1" applyAlignment="1">
      <alignment horizontal="center" vertical="center"/>
    </xf>
    <xf numFmtId="0" fontId="0" fillId="6" borderId="64" xfId="0" applyFill="1" applyBorder="1"/>
    <xf numFmtId="0" fontId="1" fillId="6" borderId="49" xfId="0" applyFont="1" applyFill="1" applyBorder="1" applyAlignment="1">
      <alignment horizontal="left" vertical="center" wrapText="1" indent="1"/>
    </xf>
    <xf numFmtId="0" fontId="1" fillId="6" borderId="39" xfId="0" applyFont="1" applyFill="1" applyBorder="1" applyAlignment="1">
      <alignment horizontal="left" vertical="center" wrapText="1" indent="1"/>
    </xf>
    <xf numFmtId="0" fontId="0" fillId="6" borderId="39" xfId="0" applyFill="1" applyBorder="1" applyAlignment="1">
      <alignment vertical="center"/>
    </xf>
    <xf numFmtId="0" fontId="0" fillId="6" borderId="50" xfId="0" applyFill="1" applyBorder="1" applyAlignment="1">
      <alignment vertical="center"/>
    </xf>
    <xf numFmtId="0" fontId="37" fillId="2" borderId="9" xfId="0" applyFont="1" applyFill="1" applyBorder="1" applyAlignment="1">
      <alignment horizontal="center" vertical="center"/>
    </xf>
    <xf numFmtId="14" fontId="0" fillId="3" borderId="11" xfId="0" applyNumberFormat="1" applyFill="1" applyBorder="1" applyAlignment="1">
      <alignment horizontal="center"/>
    </xf>
    <xf numFmtId="0" fontId="49" fillId="6" borderId="0" xfId="0" applyFont="1" applyFill="1" applyAlignment="1"/>
    <xf numFmtId="0" fontId="51" fillId="6" borderId="0" xfId="0" applyFont="1" applyFill="1" applyAlignment="1"/>
    <xf numFmtId="4" fontId="0" fillId="0" borderId="68" xfId="0" applyNumberFormat="1" applyBorder="1" applyAlignment="1"/>
    <xf numFmtId="9" fontId="52" fillId="6" borderId="0" xfId="0" applyNumberFormat="1" applyFont="1" applyFill="1" applyAlignment="1"/>
    <xf numFmtId="0" fontId="54" fillId="6" borderId="0" xfId="0" applyFont="1" applyFill="1"/>
    <xf numFmtId="0" fontId="55" fillId="6" borderId="0" xfId="0" applyFont="1" applyFill="1" applyAlignment="1"/>
    <xf numFmtId="0" fontId="48" fillId="6" borderId="0" xfId="0" applyFont="1" applyFill="1"/>
    <xf numFmtId="166" fontId="0" fillId="0" borderId="11" xfId="0" applyNumberForma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/>
    <xf numFmtId="0" fontId="40" fillId="13" borderId="0" xfId="0" applyFont="1" applyFill="1" applyAlignment="1"/>
    <xf numFmtId="0" fontId="56" fillId="13" borderId="0" xfId="0" applyFont="1" applyFill="1"/>
    <xf numFmtId="0" fontId="42" fillId="13" borderId="0" xfId="0" applyFont="1" applyFill="1" applyAlignment="1"/>
    <xf numFmtId="0" fontId="49" fillId="8" borderId="0" xfId="0" applyFont="1" applyFill="1" applyAlignment="1"/>
    <xf numFmtId="0" fontId="40" fillId="8" borderId="0" xfId="0" applyFont="1" applyFill="1" applyAlignment="1"/>
    <xf numFmtId="9" fontId="52" fillId="8" borderId="0" xfId="0" applyNumberFormat="1" applyFont="1" applyFill="1" applyAlignment="1"/>
    <xf numFmtId="0" fontId="24" fillId="8" borderId="0" xfId="0" applyFont="1" applyFill="1"/>
    <xf numFmtId="0" fontId="56" fillId="8" borderId="0" xfId="0" applyFont="1" applyFill="1"/>
    <xf numFmtId="0" fontId="30" fillId="8" borderId="0" xfId="0" applyFont="1" applyFill="1"/>
    <xf numFmtId="171" fontId="0" fillId="6" borderId="0" xfId="0" applyNumberFormat="1" applyFill="1"/>
    <xf numFmtId="171" fontId="0" fillId="0" borderId="0" xfId="0" applyNumberFormat="1"/>
    <xf numFmtId="171" fontId="1" fillId="0" borderId="0" xfId="0" applyNumberFormat="1" applyFont="1" applyAlignment="1">
      <alignment horizontal="center" vertical="center"/>
    </xf>
    <xf numFmtId="171" fontId="57" fillId="0" borderId="0" xfId="0" applyNumberFormat="1" applyFont="1" applyBorder="1" applyAlignment="1"/>
    <xf numFmtId="172" fontId="20" fillId="5" borderId="11" xfId="0" applyNumberFormat="1" applyFont="1" applyFill="1" applyBorder="1" applyAlignment="1">
      <alignment horizontal="center" vertical="center"/>
    </xf>
    <xf numFmtId="172" fontId="0" fillId="6" borderId="0" xfId="0" applyNumberFormat="1" applyFill="1"/>
    <xf numFmtId="172" fontId="0" fillId="0" borderId="0" xfId="0" applyNumberFormat="1"/>
    <xf numFmtId="172" fontId="18" fillId="5" borderId="11" xfId="0" applyNumberFormat="1" applyFont="1" applyFill="1" applyBorder="1" applyAlignment="1">
      <alignment horizontal="center" vertical="center"/>
    </xf>
    <xf numFmtId="172" fontId="26" fillId="6" borderId="0" xfId="0" applyNumberFormat="1" applyFont="1" applyFill="1" applyBorder="1" applyAlignment="1">
      <alignment horizontal="center" vertical="center"/>
    </xf>
    <xf numFmtId="172" fontId="22" fillId="6" borderId="0" xfId="0" applyNumberFormat="1" applyFont="1" applyFill="1" applyBorder="1" applyAlignment="1">
      <alignment horizontal="center" vertical="center"/>
    </xf>
    <xf numFmtId="172" fontId="46" fillId="6" borderId="0" xfId="0" applyNumberFormat="1" applyFont="1" applyFill="1" applyBorder="1" applyAlignment="1">
      <alignment horizontal="center" vertical="center"/>
    </xf>
    <xf numFmtId="172" fontId="23" fillId="6" borderId="0" xfId="0" applyNumberFormat="1" applyFont="1" applyFill="1" applyBorder="1" applyAlignment="1">
      <alignment horizontal="center" vertical="center"/>
    </xf>
    <xf numFmtId="172" fontId="1" fillId="0" borderId="51" xfId="0" applyNumberFormat="1" applyFont="1" applyFill="1" applyBorder="1" applyAlignment="1">
      <alignment horizontal="center" vertical="center"/>
    </xf>
    <xf numFmtId="172" fontId="1" fillId="0" borderId="46" xfId="0" applyNumberFormat="1" applyFont="1" applyFill="1" applyBorder="1" applyAlignment="1">
      <alignment horizontal="center" vertical="center"/>
    </xf>
    <xf numFmtId="172" fontId="27" fillId="0" borderId="6" xfId="0" applyNumberFormat="1" applyFont="1" applyFill="1" applyBorder="1" applyAlignment="1">
      <alignment horizontal="center" vertical="center"/>
    </xf>
    <xf numFmtId="172" fontId="27" fillId="0" borderId="0" xfId="0" applyNumberFormat="1" applyFont="1" applyFill="1" applyBorder="1" applyAlignment="1">
      <alignment horizontal="center" vertical="center"/>
    </xf>
    <xf numFmtId="172" fontId="18" fillId="5" borderId="11" xfId="0" applyNumberFormat="1" applyFont="1" applyFill="1" applyBorder="1" applyAlignment="1">
      <alignment horizontal="center" vertical="center" wrapText="1"/>
    </xf>
    <xf numFmtId="172" fontId="18" fillId="12" borderId="11" xfId="0" applyNumberFormat="1" applyFont="1" applyFill="1" applyBorder="1" applyAlignment="1">
      <alignment horizontal="center" vertical="center"/>
    </xf>
    <xf numFmtId="172" fontId="17" fillId="6" borderId="0" xfId="0" applyNumberFormat="1" applyFont="1" applyFill="1" applyAlignment="1"/>
    <xf numFmtId="172" fontId="17" fillId="6" borderId="0" xfId="0" applyNumberFormat="1" applyFont="1" applyFill="1" applyAlignment="1">
      <alignment horizontal="right"/>
    </xf>
    <xf numFmtId="172" fontId="52" fillId="6" borderId="0" xfId="0" applyNumberFormat="1" applyFont="1" applyFill="1" applyAlignment="1">
      <alignment horizontal="right"/>
    </xf>
    <xf numFmtId="172" fontId="41" fillId="6" borderId="0" xfId="0" applyNumberFormat="1" applyFont="1" applyFill="1" applyBorder="1" applyAlignment="1">
      <alignment horizontal="center" vertical="center"/>
    </xf>
    <xf numFmtId="172" fontId="17" fillId="6" borderId="0" xfId="0" applyNumberFormat="1" applyFont="1" applyFill="1" applyAlignment="1">
      <alignment horizontal="center"/>
    </xf>
    <xf numFmtId="172" fontId="41" fillId="13" borderId="0" xfId="0" applyNumberFormat="1" applyFont="1" applyFill="1" applyAlignment="1">
      <alignment horizontal="center"/>
    </xf>
    <xf numFmtId="172" fontId="14" fillId="5" borderId="11" xfId="0" applyNumberFormat="1" applyFont="1" applyFill="1" applyBorder="1" applyAlignment="1">
      <alignment horizontal="center" vertical="center"/>
    </xf>
    <xf numFmtId="172" fontId="36" fillId="5" borderId="11" xfId="0" applyNumberFormat="1" applyFont="1" applyFill="1" applyBorder="1" applyAlignment="1">
      <alignment horizontal="center" vertical="center"/>
    </xf>
    <xf numFmtId="172" fontId="14" fillId="5" borderId="12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14" fillId="10" borderId="17" xfId="0" applyNumberFormat="1" applyFont="1" applyFill="1" applyBorder="1" applyAlignment="1">
      <alignment horizontal="center" vertical="center"/>
    </xf>
    <xf numFmtId="172" fontId="38" fillId="10" borderId="17" xfId="0" applyNumberFormat="1" applyFont="1" applyFill="1" applyBorder="1" applyAlignment="1">
      <alignment horizontal="center" vertical="center"/>
    </xf>
    <xf numFmtId="172" fontId="14" fillId="10" borderId="14" xfId="0" applyNumberFormat="1" applyFont="1" applyFill="1" applyBorder="1" applyAlignment="1">
      <alignment horizontal="center" vertical="center"/>
    </xf>
    <xf numFmtId="172" fontId="15" fillId="3" borderId="11" xfId="0" applyNumberFormat="1" applyFont="1" applyFill="1" applyBorder="1" applyAlignment="1">
      <alignment horizontal="left" vertical="center" indent="1"/>
    </xf>
    <xf numFmtId="172" fontId="0" fillId="0" borderId="33" xfId="0" applyNumberFormat="1" applyBorder="1" applyAlignment="1">
      <alignment horizontal="left" vertical="center" indent="1"/>
    </xf>
    <xf numFmtId="172" fontId="0" fillId="0" borderId="34" xfId="0" applyNumberFormat="1" applyBorder="1" applyAlignment="1">
      <alignment horizontal="left" vertical="center" indent="1"/>
    </xf>
    <xf numFmtId="172" fontId="15" fillId="3" borderId="17" xfId="0" applyNumberFormat="1" applyFont="1" applyFill="1" applyBorder="1" applyAlignment="1">
      <alignment horizontal="left" vertical="center" indent="1"/>
    </xf>
    <xf numFmtId="172" fontId="0" fillId="0" borderId="35" xfId="0" applyNumberFormat="1" applyBorder="1" applyAlignment="1">
      <alignment horizontal="left" vertical="center" indent="1"/>
    </xf>
    <xf numFmtId="172" fontId="0" fillId="0" borderId="29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/>
    </xf>
    <xf numFmtId="172" fontId="15" fillId="3" borderId="11" xfId="0" applyNumberFormat="1" applyFont="1" applyFill="1" applyBorder="1" applyAlignment="1">
      <alignment vertical="center"/>
    </xf>
    <xf numFmtId="172" fontId="0" fillId="0" borderId="11" xfId="0" applyNumberForma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2" fontId="15" fillId="3" borderId="17" xfId="0" applyNumberFormat="1" applyFont="1" applyFill="1" applyBorder="1" applyAlignment="1">
      <alignment vertical="center"/>
    </xf>
    <xf numFmtId="172" fontId="0" fillId="0" borderId="43" xfId="0" applyNumberForma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/>
    </xf>
    <xf numFmtId="172" fontId="0" fillId="3" borderId="26" xfId="0" applyNumberFormat="1" applyFill="1" applyBorder="1" applyAlignment="1">
      <alignment horizontal="center"/>
    </xf>
    <xf numFmtId="172" fontId="0" fillId="3" borderId="27" xfId="0" applyNumberFormat="1" applyFill="1" applyBorder="1" applyAlignment="1">
      <alignment horizontal="center"/>
    </xf>
    <xf numFmtId="3" fontId="58" fillId="14" borderId="26" xfId="0" applyNumberFormat="1" applyFont="1" applyFill="1" applyBorder="1" applyAlignment="1">
      <alignment horizontal="center" vertical="center"/>
    </xf>
    <xf numFmtId="3" fontId="9" fillId="14" borderId="26" xfId="0" applyNumberFormat="1" applyFont="1" applyFill="1" applyBorder="1" applyAlignment="1">
      <alignment horizontal="center" vertical="center"/>
    </xf>
    <xf numFmtId="167" fontId="1" fillId="0" borderId="33" xfId="0" applyNumberFormat="1" applyFont="1" applyFill="1" applyBorder="1" applyAlignment="1">
      <alignment horizontal="center" vertical="center"/>
    </xf>
    <xf numFmtId="167" fontId="1" fillId="0" borderId="20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165" fontId="2" fillId="0" borderId="60" xfId="0" applyNumberFormat="1" applyFont="1" applyFill="1" applyBorder="1" applyAlignment="1">
      <alignment horizontal="left" vertical="center"/>
    </xf>
    <xf numFmtId="165" fontId="2" fillId="0" borderId="35" xfId="0" applyNumberFormat="1" applyFont="1" applyFill="1" applyBorder="1" applyAlignment="1">
      <alignment horizontal="left" vertical="center"/>
    </xf>
    <xf numFmtId="165" fontId="2" fillId="0" borderId="43" xfId="0" applyNumberFormat="1" applyFont="1" applyFill="1" applyBorder="1" applyAlignment="1">
      <alignment horizontal="left" vertical="center"/>
    </xf>
    <xf numFmtId="167" fontId="1" fillId="0" borderId="42" xfId="0" applyNumberFormat="1" applyFont="1" applyFill="1" applyBorder="1" applyAlignment="1">
      <alignment horizontal="center" vertical="center"/>
    </xf>
    <xf numFmtId="167" fontId="1" fillId="0" borderId="3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165" fontId="2" fillId="0" borderId="19" xfId="0" applyNumberFormat="1" applyFont="1" applyFill="1" applyBorder="1" applyAlignment="1">
      <alignment horizontal="left" vertical="center"/>
    </xf>
    <xf numFmtId="165" fontId="2" fillId="0" borderId="34" xfId="0" applyNumberFormat="1" applyFont="1" applyFill="1" applyBorder="1" applyAlignment="1">
      <alignment horizontal="left" vertical="center"/>
    </xf>
    <xf numFmtId="165" fontId="2" fillId="0" borderId="27" xfId="0" applyNumberFormat="1" applyFont="1" applyFill="1" applyBorder="1" applyAlignment="1">
      <alignment horizontal="left" vertical="center"/>
    </xf>
    <xf numFmtId="0" fontId="1" fillId="10" borderId="53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165" fontId="47" fillId="2" borderId="18" xfId="0" applyNumberFormat="1" applyFont="1" applyFill="1" applyBorder="1" applyAlignment="1">
      <alignment horizontal="center" vertical="center"/>
    </xf>
    <xf numFmtId="165" fontId="47" fillId="2" borderId="52" xfId="0" applyNumberFormat="1" applyFont="1" applyFill="1" applyBorder="1" applyAlignment="1">
      <alignment horizontal="center" vertical="center"/>
    </xf>
    <xf numFmtId="165" fontId="47" fillId="2" borderId="59" xfId="0" applyNumberFormat="1" applyFont="1" applyFill="1" applyBorder="1" applyAlignment="1">
      <alignment horizontal="center" vertical="center"/>
    </xf>
    <xf numFmtId="165" fontId="2" fillId="10" borderId="69" xfId="0" applyNumberFormat="1" applyFont="1" applyFill="1" applyBorder="1" applyAlignment="1">
      <alignment horizontal="center" vertical="center"/>
    </xf>
    <xf numFmtId="165" fontId="2" fillId="10" borderId="8" xfId="0" applyNumberFormat="1" applyFont="1" applyFill="1" applyBorder="1" applyAlignment="1">
      <alignment horizontal="center" vertical="center"/>
    </xf>
    <xf numFmtId="165" fontId="2" fillId="10" borderId="47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indent="1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3" fillId="6" borderId="0" xfId="0" applyFont="1" applyFill="1" applyAlignment="1">
      <alignment horizontal="left"/>
    </xf>
    <xf numFmtId="0" fontId="43" fillId="6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16" xfId="0" applyFont="1" applyFill="1" applyBorder="1" applyAlignment="1">
      <alignment horizontal="center" vertical="center" textRotation="90"/>
    </xf>
    <xf numFmtId="0" fontId="1" fillId="3" borderId="38" xfId="0" applyFont="1" applyFill="1" applyBorder="1" applyAlignment="1">
      <alignment horizontal="left" vertical="center" wrapText="1" indent="1"/>
    </xf>
    <xf numFmtId="0" fontId="1" fillId="3" borderId="15" xfId="0" applyFont="1" applyFill="1" applyBorder="1" applyAlignment="1">
      <alignment horizontal="left" vertical="center" wrapText="1" indent="1"/>
    </xf>
    <xf numFmtId="0" fontId="13" fillId="3" borderId="21" xfId="0" applyFont="1" applyFill="1" applyBorder="1" applyAlignment="1">
      <alignment horizontal="left" vertical="center" wrapText="1" indent="1"/>
    </xf>
    <xf numFmtId="0" fontId="13" fillId="3" borderId="36" xfId="0" applyFont="1" applyFill="1" applyBorder="1" applyAlignment="1">
      <alignment horizontal="left" vertical="center" wrapText="1" indent="1"/>
    </xf>
    <xf numFmtId="0" fontId="13" fillId="3" borderId="37" xfId="0" applyFont="1" applyFill="1" applyBorder="1" applyAlignment="1">
      <alignment horizontal="left" vertical="center" wrapText="1" indent="1"/>
    </xf>
    <xf numFmtId="0" fontId="13" fillId="3" borderId="53" xfId="0" applyFont="1" applyFill="1" applyBorder="1" applyAlignment="1">
      <alignment horizontal="left" vertical="center" wrapText="1" indent="1"/>
    </xf>
    <xf numFmtId="0" fontId="13" fillId="3" borderId="23" xfId="0" applyFont="1" applyFill="1" applyBorder="1" applyAlignment="1">
      <alignment horizontal="left" vertical="center" wrapText="1" indent="1"/>
    </xf>
    <xf numFmtId="0" fontId="13" fillId="3" borderId="26" xfId="0" applyFont="1" applyFill="1" applyBorder="1" applyAlignment="1">
      <alignment horizontal="left" vertical="center" wrapText="1" indent="1"/>
    </xf>
    <xf numFmtId="0" fontId="33" fillId="10" borderId="3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2" fontId="0" fillId="5" borderId="25" xfId="0" applyNumberFormat="1" applyFill="1" applyBorder="1" applyAlignment="1">
      <alignment horizontal="center" vertical="center"/>
    </xf>
    <xf numFmtId="172" fontId="0" fillId="5" borderId="45" xfId="0" applyNumberFormat="1" applyFill="1" applyBorder="1" applyAlignment="1">
      <alignment horizontal="center" vertical="center"/>
    </xf>
    <xf numFmtId="0" fontId="1" fillId="5" borderId="25" xfId="0" applyNumberFormat="1" applyFont="1" applyFill="1" applyBorder="1" applyAlignment="1">
      <alignment horizontal="center" vertical="center"/>
    </xf>
    <xf numFmtId="0" fontId="1" fillId="5" borderId="45" xfId="0" applyNumberFormat="1" applyFont="1" applyFill="1" applyBorder="1" applyAlignment="1">
      <alignment horizontal="center" vertical="center"/>
    </xf>
    <xf numFmtId="172" fontId="12" fillId="4" borderId="29" xfId="0" applyNumberFormat="1" applyFont="1" applyFill="1" applyBorder="1" applyAlignment="1">
      <alignment horizontal="center" vertical="center"/>
    </xf>
    <xf numFmtId="172" fontId="12" fillId="4" borderId="46" xfId="0" applyNumberFormat="1" applyFont="1" applyFill="1" applyBorder="1" applyAlignment="1">
      <alignment horizontal="center" vertical="center"/>
    </xf>
    <xf numFmtId="0" fontId="0" fillId="3" borderId="65" xfId="0" applyFont="1" applyFill="1" applyBorder="1" applyAlignment="1">
      <alignment horizontal="left" vertical="center" wrapText="1" indent="1"/>
    </xf>
    <xf numFmtId="0" fontId="0" fillId="3" borderId="66" xfId="0" applyFont="1" applyFill="1" applyBorder="1" applyAlignment="1">
      <alignment horizontal="left" vertical="center" wrapText="1" indent="1"/>
    </xf>
    <xf numFmtId="9" fontId="0" fillId="10" borderId="25" xfId="0" applyNumberFormat="1" applyFont="1" applyFill="1" applyBorder="1" applyAlignment="1">
      <alignment horizontal="center" vertical="center" wrapText="1"/>
    </xf>
    <xf numFmtId="9" fontId="0" fillId="10" borderId="45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 indent="1"/>
    </xf>
    <xf numFmtId="0" fontId="1" fillId="3" borderId="52" xfId="0" applyFont="1" applyFill="1" applyBorder="1" applyAlignment="1">
      <alignment horizontal="left" vertical="center" wrapText="1" indent="1"/>
    </xf>
    <xf numFmtId="172" fontId="12" fillId="4" borderId="12" xfId="0" applyNumberFormat="1" applyFont="1" applyFill="1" applyBorder="1" applyAlignment="1">
      <alignment horizontal="center" vertical="center"/>
    </xf>
    <xf numFmtId="172" fontId="12" fillId="9" borderId="9" xfId="0" applyNumberFormat="1" applyFont="1" applyFill="1" applyBorder="1" applyAlignment="1">
      <alignment horizontal="center" vertical="center"/>
    </xf>
    <xf numFmtId="172" fontId="12" fillId="9" borderId="1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3" borderId="30" xfId="0" applyFont="1" applyFill="1" applyBorder="1" applyAlignment="1">
      <alignment horizontal="left" vertical="center" wrapText="1" indent="1"/>
    </xf>
    <xf numFmtId="0" fontId="13" fillId="3" borderId="44" xfId="0" applyFont="1" applyFill="1" applyBorder="1" applyAlignment="1">
      <alignment horizontal="left" vertical="center" wrapText="1" indent="1"/>
    </xf>
    <xf numFmtId="0" fontId="13" fillId="3" borderId="54" xfId="0" applyFont="1" applyFill="1" applyBorder="1" applyAlignment="1">
      <alignment horizontal="left" vertical="center" wrapText="1" indent="1"/>
    </xf>
    <xf numFmtId="0" fontId="1" fillId="3" borderId="28" xfId="0" applyFont="1" applyFill="1" applyBorder="1" applyAlignment="1">
      <alignment horizontal="left" vertical="center" wrapText="1" indent="1"/>
    </xf>
    <xf numFmtId="172" fontId="12" fillId="4" borderId="51" xfId="0" applyNumberFormat="1" applyFont="1" applyFill="1" applyBorder="1" applyAlignment="1">
      <alignment horizontal="center" vertical="center"/>
    </xf>
    <xf numFmtId="170" fontId="35" fillId="10" borderId="11" xfId="0" applyNumberFormat="1" applyFont="1" applyFill="1" applyBorder="1" applyAlignment="1">
      <alignment horizontal="center" vertical="center"/>
    </xf>
    <xf numFmtId="0" fontId="33" fillId="3" borderId="34" xfId="0" applyFont="1" applyFill="1" applyBorder="1" applyAlignment="1">
      <alignment horizontal="left" vertical="center" indent="1"/>
    </xf>
    <xf numFmtId="0" fontId="33" fillId="3" borderId="27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center" vertical="center"/>
    </xf>
    <xf numFmtId="172" fontId="12" fillId="3" borderId="28" xfId="0" applyNumberFormat="1" applyFont="1" applyFill="1" applyBorder="1" applyAlignment="1">
      <alignment horizontal="left" vertical="center" wrapText="1" indent="1"/>
    </xf>
    <xf numFmtId="172" fontId="12" fillId="3" borderId="15" xfId="0" applyNumberFormat="1" applyFont="1" applyFill="1" applyBorder="1" applyAlignment="1">
      <alignment horizontal="left" vertical="center" wrapText="1" indent="1"/>
    </xf>
    <xf numFmtId="172" fontId="12" fillId="3" borderId="43" xfId="0" applyNumberFormat="1" applyFont="1" applyFill="1" applyBorder="1" applyAlignment="1">
      <alignment horizontal="left" vertical="center" wrapText="1" indent="1"/>
    </xf>
    <xf numFmtId="172" fontId="12" fillId="3" borderId="17" xfId="0" applyNumberFormat="1" applyFont="1" applyFill="1" applyBorder="1" applyAlignment="1">
      <alignment horizontal="left" vertical="center" wrapText="1" indent="1"/>
    </xf>
    <xf numFmtId="172" fontId="0" fillId="5" borderId="13" xfId="0" applyNumberFormat="1" applyFill="1" applyBorder="1" applyAlignment="1">
      <alignment horizontal="center" vertical="center"/>
    </xf>
    <xf numFmtId="0" fontId="1" fillId="5" borderId="13" xfId="0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left" vertical="center" indent="1"/>
    </xf>
    <xf numFmtId="172" fontId="12" fillId="4" borderId="28" xfId="0" applyNumberFormat="1" applyFont="1" applyFill="1" applyBorder="1" applyAlignment="1">
      <alignment horizontal="center" vertical="center"/>
    </xf>
    <xf numFmtId="172" fontId="12" fillId="4" borderId="15" xfId="0" applyNumberFormat="1" applyFont="1" applyFill="1" applyBorder="1" applyAlignment="1">
      <alignment horizontal="center" vertical="center"/>
    </xf>
    <xf numFmtId="172" fontId="12" fillId="4" borderId="9" xfId="0" applyNumberFormat="1" applyFont="1" applyFill="1" applyBorder="1" applyAlignment="1">
      <alignment horizontal="center" vertical="center"/>
    </xf>
    <xf numFmtId="172" fontId="12" fillId="4" borderId="43" xfId="0" applyNumberFormat="1" applyFont="1" applyFill="1" applyBorder="1" applyAlignment="1">
      <alignment horizontal="center" vertical="center"/>
    </xf>
    <xf numFmtId="172" fontId="12" fillId="4" borderId="17" xfId="0" applyNumberFormat="1" applyFont="1" applyFill="1" applyBorder="1" applyAlignment="1">
      <alignment horizontal="center" vertical="center"/>
    </xf>
    <xf numFmtId="172" fontId="12" fillId="4" borderId="14" xfId="0" applyNumberFormat="1" applyFont="1" applyFill="1" applyBorder="1" applyAlignment="1">
      <alignment horizontal="center" vertical="center"/>
    </xf>
    <xf numFmtId="172" fontId="1" fillId="3" borderId="49" xfId="0" applyNumberFormat="1" applyFont="1" applyFill="1" applyBorder="1" applyAlignment="1">
      <alignment horizontal="left" vertical="center" wrapText="1" indent="1"/>
    </xf>
    <xf numFmtId="172" fontId="1" fillId="3" borderId="30" xfId="0" applyNumberFormat="1" applyFont="1" applyFill="1" applyBorder="1" applyAlignment="1">
      <alignment horizontal="left" vertical="center" wrapText="1" indent="1"/>
    </xf>
    <xf numFmtId="0" fontId="33" fillId="3" borderId="49" xfId="0" applyFont="1" applyFill="1" applyBorder="1" applyAlignment="1">
      <alignment horizontal="left" vertical="center" wrapText="1" indent="1"/>
    </xf>
    <xf numFmtId="0" fontId="33" fillId="3" borderId="39" xfId="0" applyFont="1" applyFill="1" applyBorder="1" applyAlignment="1">
      <alignment horizontal="left" vertical="center" wrapText="1" indent="1"/>
    </xf>
    <xf numFmtId="0" fontId="33" fillId="3" borderId="57" xfId="0" applyFont="1" applyFill="1" applyBorder="1" applyAlignment="1">
      <alignment horizontal="left" vertical="center" wrapText="1" indent="1"/>
    </xf>
    <xf numFmtId="0" fontId="33" fillId="3" borderId="30" xfId="0" applyFont="1" applyFill="1" applyBorder="1" applyAlignment="1">
      <alignment horizontal="left" vertical="center" wrapText="1" indent="1"/>
    </xf>
    <xf numFmtId="0" fontId="33" fillId="3" borderId="44" xfId="0" applyFont="1" applyFill="1" applyBorder="1" applyAlignment="1">
      <alignment horizontal="left" vertical="center" wrapText="1" indent="1"/>
    </xf>
    <xf numFmtId="0" fontId="33" fillId="3" borderId="54" xfId="0" applyFont="1" applyFill="1" applyBorder="1" applyAlignment="1">
      <alignment horizontal="left" vertical="center" wrapText="1" indent="1"/>
    </xf>
    <xf numFmtId="172" fontId="12" fillId="3" borderId="55" xfId="0" applyNumberFormat="1" applyFont="1" applyFill="1" applyBorder="1" applyAlignment="1">
      <alignment horizontal="center" vertical="center"/>
    </xf>
    <xf numFmtId="172" fontId="12" fillId="3" borderId="39" xfId="0" applyNumberFormat="1" applyFont="1" applyFill="1" applyBorder="1" applyAlignment="1">
      <alignment horizontal="center" vertical="center"/>
    </xf>
    <xf numFmtId="172" fontId="12" fillId="3" borderId="56" xfId="0" applyNumberFormat="1" applyFont="1" applyFill="1" applyBorder="1" applyAlignment="1">
      <alignment horizontal="center" vertical="center"/>
    </xf>
    <xf numFmtId="172" fontId="12" fillId="3" borderId="4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72" fontId="12" fillId="4" borderId="58" xfId="0" applyNumberFormat="1" applyFon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3" fontId="0" fillId="11" borderId="67" xfId="1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7" fillId="2" borderId="61" xfId="0" applyFont="1" applyFill="1" applyBorder="1" applyAlignment="1">
      <alignment horizontal="center" vertical="center" textRotation="90"/>
    </xf>
    <xf numFmtId="0" fontId="7" fillId="2" borderId="62" xfId="0" applyFont="1" applyFill="1" applyBorder="1" applyAlignment="1">
      <alignment horizontal="center" vertical="center" textRotation="90"/>
    </xf>
    <xf numFmtId="0" fontId="7" fillId="2" borderId="63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Примечание" xfId="1" builtinId="10"/>
  </cellStyles>
  <dxfs count="156"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FF0000"/>
      </font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CCC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55"/>
      <tableStyleElement type="headerRow" dxfId="154"/>
    </tableStyle>
  </tableStyles>
  <colors>
    <mruColors>
      <color rgb="FFFFFFCC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Служебный!$B$4</c:f>
              <c:numCache>
                <c:formatCode>#,##0</c:formatCode>
                <c:ptCount val="1"/>
                <c:pt idx="0">
                  <c:v>41292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CF-0243-8D08-FD77F03FC0E4}"/>
            </c:ext>
          </c:extLst>
        </c:ser>
        <c:ser>
          <c:idx val="1"/>
          <c:order val="1"/>
          <c:tx>
            <c:strRef>
              <c:f>Служебный!$A$5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Служебный!$B$5</c:f>
              <c:numCache>
                <c:formatCode>#,##0</c:formatCode>
                <c:ptCount val="1"/>
                <c:pt idx="0">
                  <c:v>55046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CF-0243-8D08-FD77F03FC0E4}"/>
            </c:ext>
          </c:extLst>
        </c:ser>
        <c:ser>
          <c:idx val="2"/>
          <c:order val="2"/>
          <c:tx>
            <c:strRef>
              <c:f>Служебный!$A$6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Служебный!$B$6</c:f>
              <c:numCache>
                <c:formatCode>#,##0</c:formatCode>
                <c:ptCount val="1"/>
                <c:pt idx="0">
                  <c:v>24084.5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CF-0243-8D08-FD77F03FC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59584"/>
        <c:axId val="104150080"/>
      </c:barChart>
      <c:catAx>
        <c:axId val="109059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150080"/>
        <c:crosses val="autoZero"/>
        <c:auto val="1"/>
        <c:lblAlgn val="ctr"/>
        <c:lblOffset val="100"/>
        <c:noMultiLvlLbl val="0"/>
      </c:catAx>
      <c:valAx>
        <c:axId val="10415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059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Служебный!$G$4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Служебный!$H$4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9-544C-9ED9-B08785E0B658}"/>
            </c:ext>
          </c:extLst>
        </c:ser>
        <c:ser>
          <c:idx val="1"/>
          <c:order val="1"/>
          <c:tx>
            <c:strRef>
              <c:f>Служебный!$G$5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789-544C-9ED9-B08785E0B658}"/>
              </c:ext>
            </c:extLst>
          </c:dPt>
          <c:val>
            <c:numRef>
              <c:f>Служебный!$H$5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89-544C-9ED9-B08785E0B658}"/>
            </c:ext>
          </c:extLst>
        </c:ser>
        <c:ser>
          <c:idx val="2"/>
          <c:order val="2"/>
          <c:tx>
            <c:strRef>
              <c:f>Служебный!$G$6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Служебный!$H$6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89-544C-9ED9-B08785E0B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554240"/>
        <c:axId val="104152384"/>
      </c:barChart>
      <c:catAx>
        <c:axId val="1085542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152384"/>
        <c:crosses val="autoZero"/>
        <c:auto val="1"/>
        <c:lblAlgn val="ctr"/>
        <c:lblOffset val="100"/>
        <c:noMultiLvlLbl val="0"/>
      </c:catAx>
      <c:valAx>
        <c:axId val="10415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5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План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Служебный!$C$14:$AG$14</c:f>
              <c:numCache>
                <c:formatCode>#,##0</c:formatCode>
                <c:ptCount val="31"/>
                <c:pt idx="0">
                  <c:v>3107.6774193548385</c:v>
                </c:pt>
                <c:pt idx="1">
                  <c:v>6215.3548387096771</c:v>
                </c:pt>
                <c:pt idx="2">
                  <c:v>9323.0322580645152</c:v>
                </c:pt>
                <c:pt idx="3">
                  <c:v>12430.709677419354</c:v>
                </c:pt>
                <c:pt idx="4">
                  <c:v>15538.387096774193</c:v>
                </c:pt>
                <c:pt idx="5">
                  <c:v>18646.06451612903</c:v>
                </c:pt>
                <c:pt idx="6">
                  <c:v>21753.741935483868</c:v>
                </c:pt>
                <c:pt idx="7">
                  <c:v>24861.419354838705</c:v>
                </c:pt>
                <c:pt idx="8">
                  <c:v>27969.096774193542</c:v>
                </c:pt>
                <c:pt idx="9">
                  <c:v>31076.774193548379</c:v>
                </c:pt>
                <c:pt idx="10">
                  <c:v>34184.45161290322</c:v>
                </c:pt>
                <c:pt idx="11">
                  <c:v>37292.129032258061</c:v>
                </c:pt>
                <c:pt idx="12">
                  <c:v>40399.806451612902</c:v>
                </c:pt>
                <c:pt idx="13">
                  <c:v>43507.483870967742</c:v>
                </c:pt>
                <c:pt idx="14">
                  <c:v>46615.161290322583</c:v>
                </c:pt>
                <c:pt idx="15">
                  <c:v>49722.838709677424</c:v>
                </c:pt>
                <c:pt idx="16">
                  <c:v>52830.516129032265</c:v>
                </c:pt>
                <c:pt idx="17">
                  <c:v>55938.193548387106</c:v>
                </c:pt>
                <c:pt idx="18">
                  <c:v>59045.870967741947</c:v>
                </c:pt>
                <c:pt idx="19">
                  <c:v>62153.548387096787</c:v>
                </c:pt>
                <c:pt idx="20">
                  <c:v>65261.225806451628</c:v>
                </c:pt>
                <c:pt idx="21">
                  <c:v>68368.903225806469</c:v>
                </c:pt>
                <c:pt idx="22">
                  <c:v>71476.580645161303</c:v>
                </c:pt>
                <c:pt idx="23">
                  <c:v>74584.258064516136</c:v>
                </c:pt>
                <c:pt idx="24">
                  <c:v>77691.93548387097</c:v>
                </c:pt>
                <c:pt idx="25">
                  <c:v>80799.612903225803</c:v>
                </c:pt>
                <c:pt idx="26">
                  <c:v>83907.290322580637</c:v>
                </c:pt>
                <c:pt idx="27">
                  <c:v>87014.96774193547</c:v>
                </c:pt>
                <c:pt idx="28">
                  <c:v>90122.645161290304</c:v>
                </c:pt>
                <c:pt idx="29">
                  <c:v>93230.322580645137</c:v>
                </c:pt>
                <c:pt idx="30">
                  <c:v>96337.999999999971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D5F-9343-AF5F-F6683D2D01F1}"/>
            </c:ext>
          </c:extLst>
        </c:ser>
        <c:ser>
          <c:idx val="1"/>
          <c:order val="1"/>
          <c:tx>
            <c:v>Факт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Служебный!$C$18:$AG$18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5804</c:v>
                </c:pt>
                <c:pt idx="9">
                  <c:v>5804</c:v>
                </c:pt>
                <c:pt idx="10">
                  <c:v>18257</c:v>
                </c:pt>
                <c:pt idx="11">
                  <c:v>22933</c:v>
                </c:pt>
                <c:pt idx="12">
                  <c:v>22933</c:v>
                </c:pt>
                <c:pt idx="13">
                  <c:v>22933</c:v>
                </c:pt>
                <c:pt idx="14">
                  <c:v>25774</c:v>
                </c:pt>
                <c:pt idx="15">
                  <c:v>25774</c:v>
                </c:pt>
                <c:pt idx="16">
                  <c:v>31540</c:v>
                </c:pt>
                <c:pt idx="17">
                  <c:v>31540</c:v>
                </c:pt>
                <c:pt idx="18">
                  <c:v>31540</c:v>
                </c:pt>
                <c:pt idx="19">
                  <c:v>31540</c:v>
                </c:pt>
                <c:pt idx="20">
                  <c:v>31540</c:v>
                </c:pt>
                <c:pt idx="21">
                  <c:v>31540</c:v>
                </c:pt>
                <c:pt idx="22">
                  <c:v>31540</c:v>
                </c:pt>
                <c:pt idx="23">
                  <c:v>31540</c:v>
                </c:pt>
                <c:pt idx="24">
                  <c:v>41292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5F-9343-AF5F-F6683D2D0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55776"/>
        <c:axId val="110192320"/>
      </c:lineChart>
      <c:catAx>
        <c:axId val="10855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92320"/>
        <c:crosses val="autoZero"/>
        <c:auto val="1"/>
        <c:lblAlgn val="ctr"/>
        <c:lblOffset val="100"/>
        <c:noMultiLvlLbl val="0"/>
      </c:catAx>
      <c:valAx>
        <c:axId val="11019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855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План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Служебный!$C$20:$AG$20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389-B345-BBEC-C4261D7F0417}"/>
            </c:ext>
          </c:extLst>
        </c:ser>
        <c:ser>
          <c:idx val="1"/>
          <c:order val="1"/>
          <c:tx>
            <c:v>Факт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Служебный!$C$24:$AG$24</c:f>
              <c:numCache>
                <c:formatCode>#,##0</c:formatCode>
                <c:ptCount val="3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89-B345-BBEC-C4261D7F0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78944"/>
        <c:axId val="110194624"/>
      </c:lineChart>
      <c:catAx>
        <c:axId val="11137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94624"/>
        <c:crosses val="autoZero"/>
        <c:auto val="1"/>
        <c:lblAlgn val="ctr"/>
        <c:lblOffset val="100"/>
        <c:noMultiLvlLbl val="0"/>
      </c:catAx>
      <c:valAx>
        <c:axId val="1101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3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Служебный!$A$4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Служебный!$B$4</c:f>
              <c:numCache>
                <c:formatCode>#,##0</c:formatCode>
                <c:ptCount val="1"/>
                <c:pt idx="0">
                  <c:v>41292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AB-6C42-B8CB-36490547C154}"/>
            </c:ext>
          </c:extLst>
        </c:ser>
        <c:ser>
          <c:idx val="1"/>
          <c:order val="1"/>
          <c:tx>
            <c:strRef>
              <c:f>Служебный!$A$5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Служебный!$B$5</c:f>
              <c:numCache>
                <c:formatCode>#,##0</c:formatCode>
                <c:ptCount val="1"/>
                <c:pt idx="0">
                  <c:v>55046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AB-6C42-B8CB-36490547C154}"/>
            </c:ext>
          </c:extLst>
        </c:ser>
        <c:ser>
          <c:idx val="2"/>
          <c:order val="2"/>
          <c:tx>
            <c:strRef>
              <c:f>Служебный!$A$6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Служебный!$B$6</c:f>
              <c:numCache>
                <c:formatCode>#,##0</c:formatCode>
                <c:ptCount val="1"/>
                <c:pt idx="0">
                  <c:v>24084.5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AB-6C42-B8CB-36490547C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77952"/>
        <c:axId val="110196928"/>
      </c:barChart>
      <c:catAx>
        <c:axId val="111677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0196928"/>
        <c:crosses val="autoZero"/>
        <c:auto val="1"/>
        <c:lblAlgn val="ctr"/>
        <c:lblOffset val="100"/>
        <c:noMultiLvlLbl val="0"/>
      </c:catAx>
      <c:valAx>
        <c:axId val="11019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7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План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Служебный!$C$14:$AG$14</c:f>
              <c:numCache>
                <c:formatCode>#,##0</c:formatCode>
                <c:ptCount val="31"/>
                <c:pt idx="0">
                  <c:v>3107.6774193548385</c:v>
                </c:pt>
                <c:pt idx="1">
                  <c:v>6215.3548387096771</c:v>
                </c:pt>
                <c:pt idx="2">
                  <c:v>9323.0322580645152</c:v>
                </c:pt>
                <c:pt idx="3">
                  <c:v>12430.709677419354</c:v>
                </c:pt>
                <c:pt idx="4">
                  <c:v>15538.387096774193</c:v>
                </c:pt>
                <c:pt idx="5">
                  <c:v>18646.06451612903</c:v>
                </c:pt>
                <c:pt idx="6">
                  <c:v>21753.741935483868</c:v>
                </c:pt>
                <c:pt idx="7">
                  <c:v>24861.419354838705</c:v>
                </c:pt>
                <c:pt idx="8">
                  <c:v>27969.096774193542</c:v>
                </c:pt>
                <c:pt idx="9">
                  <c:v>31076.774193548379</c:v>
                </c:pt>
                <c:pt idx="10">
                  <c:v>34184.45161290322</c:v>
                </c:pt>
                <c:pt idx="11">
                  <c:v>37292.129032258061</c:v>
                </c:pt>
                <c:pt idx="12">
                  <c:v>40399.806451612902</c:v>
                </c:pt>
                <c:pt idx="13">
                  <c:v>43507.483870967742</c:v>
                </c:pt>
                <c:pt idx="14">
                  <c:v>46615.161290322583</c:v>
                </c:pt>
                <c:pt idx="15">
                  <c:v>49722.838709677424</c:v>
                </c:pt>
                <c:pt idx="16">
                  <c:v>52830.516129032265</c:v>
                </c:pt>
                <c:pt idx="17">
                  <c:v>55938.193548387106</c:v>
                </c:pt>
                <c:pt idx="18">
                  <c:v>59045.870967741947</c:v>
                </c:pt>
                <c:pt idx="19">
                  <c:v>62153.548387096787</c:v>
                </c:pt>
                <c:pt idx="20">
                  <c:v>65261.225806451628</c:v>
                </c:pt>
                <c:pt idx="21">
                  <c:v>68368.903225806469</c:v>
                </c:pt>
                <c:pt idx="22">
                  <c:v>71476.580645161303</c:v>
                </c:pt>
                <c:pt idx="23">
                  <c:v>74584.258064516136</c:v>
                </c:pt>
                <c:pt idx="24">
                  <c:v>77691.93548387097</c:v>
                </c:pt>
                <c:pt idx="25">
                  <c:v>80799.612903225803</c:v>
                </c:pt>
                <c:pt idx="26">
                  <c:v>83907.290322580637</c:v>
                </c:pt>
                <c:pt idx="27">
                  <c:v>87014.96774193547</c:v>
                </c:pt>
                <c:pt idx="28">
                  <c:v>90122.645161290304</c:v>
                </c:pt>
                <c:pt idx="29">
                  <c:v>93230.322580645137</c:v>
                </c:pt>
                <c:pt idx="30">
                  <c:v>96337.999999999971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58-E24F-8025-4AF16C46BF40}"/>
            </c:ext>
          </c:extLst>
        </c:ser>
        <c:ser>
          <c:idx val="2"/>
          <c:order val="1"/>
          <c:tx>
            <c:v>План + 25%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Служебный!$C$16:$AG$16</c:f>
              <c:numCache>
                <c:formatCode>#,##0</c:formatCode>
                <c:ptCount val="31"/>
                <c:pt idx="0">
                  <c:v>3884.5967741935483</c:v>
                </c:pt>
                <c:pt idx="1">
                  <c:v>7769.1935483870966</c:v>
                </c:pt>
                <c:pt idx="2">
                  <c:v>11653.790322580644</c:v>
                </c:pt>
                <c:pt idx="3">
                  <c:v>15538.387096774193</c:v>
                </c:pt>
                <c:pt idx="4">
                  <c:v>19422.983870967742</c:v>
                </c:pt>
                <c:pt idx="5">
                  <c:v>23307.580645161288</c:v>
                </c:pt>
                <c:pt idx="6">
                  <c:v>27192.177419354834</c:v>
                </c:pt>
                <c:pt idx="7">
                  <c:v>31076.774193548379</c:v>
                </c:pt>
                <c:pt idx="8">
                  <c:v>34961.370967741925</c:v>
                </c:pt>
                <c:pt idx="9">
                  <c:v>38845.96774193547</c:v>
                </c:pt>
                <c:pt idx="10">
                  <c:v>42730.564516129023</c:v>
                </c:pt>
                <c:pt idx="11">
                  <c:v>46615.161290322576</c:v>
                </c:pt>
                <c:pt idx="12">
                  <c:v>50499.758064516129</c:v>
                </c:pt>
                <c:pt idx="13">
                  <c:v>54384.354838709682</c:v>
                </c:pt>
                <c:pt idx="14">
                  <c:v>58268.951612903227</c:v>
                </c:pt>
                <c:pt idx="15">
                  <c:v>62153.54838709678</c:v>
                </c:pt>
                <c:pt idx="16">
                  <c:v>66038.145161290333</c:v>
                </c:pt>
                <c:pt idx="17">
                  <c:v>69922.741935483878</c:v>
                </c:pt>
                <c:pt idx="18">
                  <c:v>73807.338709677439</c:v>
                </c:pt>
                <c:pt idx="19">
                  <c:v>77691.935483870984</c:v>
                </c:pt>
                <c:pt idx="20">
                  <c:v>81576.53225806453</c:v>
                </c:pt>
                <c:pt idx="21">
                  <c:v>85461.12903225809</c:v>
                </c:pt>
                <c:pt idx="22">
                  <c:v>89345.725806451635</c:v>
                </c:pt>
                <c:pt idx="23">
                  <c:v>93230.322580645166</c:v>
                </c:pt>
                <c:pt idx="24">
                  <c:v>97114.919354838712</c:v>
                </c:pt>
                <c:pt idx="25">
                  <c:v>100999.51612903226</c:v>
                </c:pt>
                <c:pt idx="26">
                  <c:v>104884.11290322579</c:v>
                </c:pt>
                <c:pt idx="27">
                  <c:v>108768.70967741933</c:v>
                </c:pt>
                <c:pt idx="28">
                  <c:v>112653.30645161288</c:v>
                </c:pt>
                <c:pt idx="29">
                  <c:v>116537.90322580643</c:v>
                </c:pt>
                <c:pt idx="30">
                  <c:v>120422.49999999997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58-E24F-8025-4AF16C46BF40}"/>
            </c:ext>
          </c:extLst>
        </c:ser>
        <c:ser>
          <c:idx val="3"/>
          <c:order val="2"/>
          <c:tx>
            <c:v>План - 25 %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Служебный!$C$15:$AG$15</c:f>
              <c:numCache>
                <c:formatCode>#,##0</c:formatCode>
                <c:ptCount val="31"/>
                <c:pt idx="0">
                  <c:v>2330.7580645161288</c:v>
                </c:pt>
                <c:pt idx="1">
                  <c:v>4661.5161290322576</c:v>
                </c:pt>
                <c:pt idx="2">
                  <c:v>6992.2741935483864</c:v>
                </c:pt>
                <c:pt idx="3">
                  <c:v>9323.0322580645152</c:v>
                </c:pt>
                <c:pt idx="4">
                  <c:v>11653.790322580644</c:v>
                </c:pt>
                <c:pt idx="5">
                  <c:v>13984.548387096773</c:v>
                </c:pt>
                <c:pt idx="6">
                  <c:v>16315.306451612902</c:v>
                </c:pt>
                <c:pt idx="7">
                  <c:v>18646.06451612903</c:v>
                </c:pt>
                <c:pt idx="8">
                  <c:v>20976.822580645156</c:v>
                </c:pt>
                <c:pt idx="9">
                  <c:v>23307.580645161284</c:v>
                </c:pt>
                <c:pt idx="10">
                  <c:v>25638.338709677417</c:v>
                </c:pt>
                <c:pt idx="11">
                  <c:v>27969.096774193546</c:v>
                </c:pt>
                <c:pt idx="12">
                  <c:v>30299.854838709674</c:v>
                </c:pt>
                <c:pt idx="13">
                  <c:v>32630.612903225807</c:v>
                </c:pt>
                <c:pt idx="14">
                  <c:v>34961.370967741939</c:v>
                </c:pt>
                <c:pt idx="15">
                  <c:v>37292.129032258068</c:v>
                </c:pt>
                <c:pt idx="16">
                  <c:v>39622.887096774197</c:v>
                </c:pt>
                <c:pt idx="17">
                  <c:v>41953.645161290333</c:v>
                </c:pt>
                <c:pt idx="18">
                  <c:v>44284.403225806462</c:v>
                </c:pt>
                <c:pt idx="19">
                  <c:v>46615.161290322591</c:v>
                </c:pt>
                <c:pt idx="20">
                  <c:v>48945.919354838719</c:v>
                </c:pt>
                <c:pt idx="21">
                  <c:v>51276.677419354848</c:v>
                </c:pt>
                <c:pt idx="22">
                  <c:v>53607.435483870977</c:v>
                </c:pt>
                <c:pt idx="23">
                  <c:v>55938.193548387106</c:v>
                </c:pt>
                <c:pt idx="24">
                  <c:v>58268.951612903227</c:v>
                </c:pt>
                <c:pt idx="25">
                  <c:v>60599.709677419349</c:v>
                </c:pt>
                <c:pt idx="26">
                  <c:v>62930.467741935478</c:v>
                </c:pt>
                <c:pt idx="27">
                  <c:v>65261.225806451606</c:v>
                </c:pt>
                <c:pt idx="28">
                  <c:v>67591.983870967728</c:v>
                </c:pt>
                <c:pt idx="29">
                  <c:v>69922.741935483849</c:v>
                </c:pt>
                <c:pt idx="30">
                  <c:v>72253.499999999971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958-E24F-8025-4AF16C46BF40}"/>
            </c:ext>
          </c:extLst>
        </c:ser>
        <c:ser>
          <c:idx val="1"/>
          <c:order val="3"/>
          <c:tx>
            <c:v>Факт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Служебный!$C$18:$AG$18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5804</c:v>
                </c:pt>
                <c:pt idx="9">
                  <c:v>5804</c:v>
                </c:pt>
                <c:pt idx="10">
                  <c:v>18257</c:v>
                </c:pt>
                <c:pt idx="11">
                  <c:v>22933</c:v>
                </c:pt>
                <c:pt idx="12">
                  <c:v>22933</c:v>
                </c:pt>
                <c:pt idx="13">
                  <c:v>22933</c:v>
                </c:pt>
                <c:pt idx="14">
                  <c:v>25774</c:v>
                </c:pt>
                <c:pt idx="15">
                  <c:v>25774</c:v>
                </c:pt>
                <c:pt idx="16">
                  <c:v>31540</c:v>
                </c:pt>
                <c:pt idx="17">
                  <c:v>31540</c:v>
                </c:pt>
                <c:pt idx="18">
                  <c:v>31540</c:v>
                </c:pt>
                <c:pt idx="19">
                  <c:v>31540</c:v>
                </c:pt>
                <c:pt idx="20">
                  <c:v>31540</c:v>
                </c:pt>
                <c:pt idx="21">
                  <c:v>31540</c:v>
                </c:pt>
                <c:pt idx="22">
                  <c:v>31540</c:v>
                </c:pt>
                <c:pt idx="23">
                  <c:v>31540</c:v>
                </c:pt>
                <c:pt idx="24">
                  <c:v>41292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58-E24F-8025-4AF16C46B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78976"/>
        <c:axId val="111657536"/>
      </c:lineChart>
      <c:catAx>
        <c:axId val="1116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57536"/>
        <c:crosses val="autoZero"/>
        <c:auto val="1"/>
        <c:lblAlgn val="ctr"/>
        <c:lblOffset val="100"/>
        <c:noMultiLvlLbl val="0"/>
      </c:catAx>
      <c:valAx>
        <c:axId val="11165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7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Служебный!$G$4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Служебный!$H$4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B1-9B47-9954-F9C12E3EFCE8}"/>
            </c:ext>
          </c:extLst>
        </c:ser>
        <c:ser>
          <c:idx val="1"/>
          <c:order val="1"/>
          <c:tx>
            <c:strRef>
              <c:f>Служебный!$G$5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FFCC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AB1-9B47-9954-F9C12E3EFCE8}"/>
              </c:ext>
            </c:extLst>
          </c:dPt>
          <c:val>
            <c:numRef>
              <c:f>Служебный!$H$5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B1-9B47-9954-F9C12E3EFCE8}"/>
            </c:ext>
          </c:extLst>
        </c:ser>
        <c:ser>
          <c:idx val="2"/>
          <c:order val="2"/>
          <c:tx>
            <c:strRef>
              <c:f>Служебный!$G$6</c:f>
              <c:strCache>
                <c:ptCount val="1"/>
                <c:pt idx="0">
                  <c:v>Сверхплан</c:v>
                </c:pt>
              </c:strCache>
            </c:strRef>
          </c:tx>
          <c:spPr>
            <a:solidFill>
              <a:schemeClr val="bg2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val>
            <c:numRef>
              <c:f>Служебный!$H$6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B1-9B47-9954-F9C12E3EF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680000"/>
        <c:axId val="111659840"/>
      </c:barChart>
      <c:catAx>
        <c:axId val="111680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659840"/>
        <c:crosses val="autoZero"/>
        <c:auto val="1"/>
        <c:lblAlgn val="ctr"/>
        <c:lblOffset val="100"/>
        <c:noMultiLvlLbl val="0"/>
      </c:catAx>
      <c:valAx>
        <c:axId val="111659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8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92171165377042"/>
          <c:y val="6.9291338582677164E-2"/>
          <c:w val="0.72159231383396927"/>
          <c:h val="0.7845778411556823"/>
        </c:manualLayout>
      </c:layout>
      <c:lineChart>
        <c:grouping val="standard"/>
        <c:varyColors val="0"/>
        <c:ser>
          <c:idx val="0"/>
          <c:order val="0"/>
          <c:tx>
            <c:v>План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Служебный!$C$20:$AG$20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DF-7D46-ADCD-483845FD54E9}"/>
            </c:ext>
          </c:extLst>
        </c:ser>
        <c:ser>
          <c:idx val="2"/>
          <c:order val="1"/>
          <c:tx>
            <c:v>План + 25%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Служебный!$C$22:$AG$22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DF-7D46-ADCD-483845FD54E9}"/>
            </c:ext>
          </c:extLst>
        </c:ser>
        <c:ser>
          <c:idx val="3"/>
          <c:order val="2"/>
          <c:tx>
            <c:v>План - 25 %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Служебный!$C$21:$AG$21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DF-7D46-ADCD-483845FD54E9}"/>
            </c:ext>
          </c:extLst>
        </c:ser>
        <c:ser>
          <c:idx val="1"/>
          <c:order val="3"/>
          <c:tx>
            <c:v>Факт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Служебный!$C$11:$AG$11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Служебный!$C$24:$AG$24</c:f>
              <c:numCache>
                <c:formatCode>#,##0</c:formatCode>
                <c:ptCount val="3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F-7D46-ADCD-483845FD5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1024"/>
        <c:axId val="111662144"/>
      </c:lineChart>
      <c:catAx>
        <c:axId val="11168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62144"/>
        <c:crosses val="autoZero"/>
        <c:auto val="1"/>
        <c:lblAlgn val="ctr"/>
        <c:lblOffset val="100"/>
        <c:noMultiLvlLbl val="0"/>
      </c:catAx>
      <c:valAx>
        <c:axId val="11166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68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6</xdr:row>
      <xdr:rowOff>180974</xdr:rowOff>
    </xdr:from>
    <xdr:to>
      <xdr:col>3</xdr:col>
      <xdr:colOff>1619251</xdr:colOff>
      <xdr:row>17</xdr:row>
      <xdr:rowOff>151617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</xdr:colOff>
      <xdr:row>6</xdr:row>
      <xdr:rowOff>180974</xdr:rowOff>
    </xdr:from>
    <xdr:to>
      <xdr:col>11</xdr:col>
      <xdr:colOff>1578430</xdr:colOff>
      <xdr:row>18</xdr:row>
      <xdr:rowOff>40821</xdr:rowOff>
    </xdr:to>
    <xdr:graphicFrame macro="">
      <xdr:nvGraphicFramePr>
        <xdr:cNvPr id="12" name="dops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9526</xdr:colOff>
      <xdr:row>6</xdr:row>
      <xdr:rowOff>180973</xdr:rowOff>
    </xdr:from>
    <xdr:to>
      <xdr:col>7</xdr:col>
      <xdr:colOff>1619251</xdr:colOff>
      <xdr:row>17</xdr:row>
      <xdr:rowOff>190499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6</xdr:row>
      <xdr:rowOff>180974</xdr:rowOff>
    </xdr:from>
    <xdr:to>
      <xdr:col>15</xdr:col>
      <xdr:colOff>1632858</xdr:colOff>
      <xdr:row>17</xdr:row>
      <xdr:rowOff>151617</xdr:rowOff>
    </xdr:to>
    <xdr:graphicFrame macro="">
      <xdr:nvGraphicFramePr>
        <xdr:cNvPr id="5" name="Диаграмма 12">
          <a:extLst>
            <a:ext uri="{FF2B5EF4-FFF2-40B4-BE49-F238E27FC236}">
              <a16:creationId xmlns:a16="http://schemas.microsoft.com/office/drawing/2014/main" xmlns="" id="{85C98DBD-EB68-EB46-8CF9-57BD6A384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4</xdr:col>
      <xdr:colOff>0</xdr:colOff>
      <xdr:row>15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7</xdr:row>
      <xdr:rowOff>1</xdr:rowOff>
    </xdr:from>
    <xdr:to>
      <xdr:col>7</xdr:col>
      <xdr:colOff>1682750</xdr:colOff>
      <xdr:row>14</xdr:row>
      <xdr:rowOff>222251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24342</xdr:colOff>
      <xdr:row>7</xdr:row>
      <xdr:rowOff>1</xdr:rowOff>
    </xdr:from>
    <xdr:to>
      <xdr:col>16</xdr:col>
      <xdr:colOff>2117</xdr:colOff>
      <xdr:row>15</xdr:row>
      <xdr:rowOff>1</xdr:rowOff>
    </xdr:to>
    <xdr:graphicFrame macro="">
      <xdr:nvGraphicFramePr>
        <xdr:cNvPr id="7" name="dops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</xdr:colOff>
      <xdr:row>6</xdr:row>
      <xdr:rowOff>190499</xdr:rowOff>
    </xdr:from>
    <xdr:to>
      <xdr:col>20</xdr:col>
      <xdr:colOff>9525</xdr:colOff>
      <xdr:row>14</xdr:row>
      <xdr:rowOff>246449</xdr:rowOff>
    </xdr:to>
    <xdr:graphicFrame macro="">
      <xdr:nvGraphicFramePr>
        <xdr:cNvPr id="8" name="Диаграмма 5">
          <a:extLst>
            <a:ext uri="{FF2B5EF4-FFF2-40B4-BE49-F238E27FC236}">
              <a16:creationId xmlns:a16="http://schemas.microsoft.com/office/drawing/2014/main" xmlns="" id="{80C8C56B-8E7E-0B48-ADCC-E8D2584C1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outlinePr summaryBelow="0"/>
  </sheetPr>
  <dimension ref="A1:P77"/>
  <sheetViews>
    <sheetView showGridLines="0" zoomScale="70" zoomScaleNormal="70" workbookViewId="0">
      <selection activeCell="R21" sqref="R21"/>
    </sheetView>
  </sheetViews>
  <sheetFormatPr defaultColWidth="11" defaultRowHeight="15.75" outlineLevelRow="1" x14ac:dyDescent="0.25"/>
  <cols>
    <col min="1" max="1" width="1.875" style="20" customWidth="1"/>
    <col min="2" max="4" width="21.625" customWidth="1"/>
    <col min="5" max="5" width="1.875" style="20" customWidth="1"/>
    <col min="6" max="8" width="21.625" customWidth="1"/>
    <col min="9" max="9" width="1.875" style="20" customWidth="1"/>
    <col min="10" max="12" width="21.625" customWidth="1"/>
    <col min="13" max="13" width="1.875" customWidth="1"/>
    <col min="14" max="16" width="21.625" customWidth="1"/>
  </cols>
  <sheetData>
    <row r="1" spans="1:16" s="20" customFormat="1" ht="15" customHeight="1" x14ac:dyDescent="0.25"/>
    <row r="2" spans="1:16" ht="23.25" x14ac:dyDescent="0.25">
      <c r="B2" s="273" t="str">
        <f>"Результаты агентства за " &amp; current_month</f>
        <v>Результаты агентства за Январь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s="20" customFormat="1" ht="15" customHeight="1" x14ac:dyDescent="0.25"/>
    <row r="4" spans="1:16" s="25" customFormat="1" ht="20.100000000000001" customHeight="1" x14ac:dyDescent="0.25">
      <c r="A4" s="26"/>
      <c r="B4" s="258" t="str">
        <f>"План по турам на " &amp; current_month</f>
        <v>План по турам на Январь</v>
      </c>
      <c r="C4" s="258"/>
      <c r="D4" s="258"/>
      <c r="E4" s="26"/>
      <c r="F4" s="258" t="str">
        <f ca="1">"План по турам нарастающим итогом на "&amp;  DAY(TODAY()) &amp; "." &amp;  MONTH(TODAY())</f>
        <v>План по турам нарастающим итогом на 27.1</v>
      </c>
      <c r="G4" s="258"/>
      <c r="H4" s="258"/>
      <c r="I4" s="26"/>
      <c r="J4" s="258" t="str">
        <f>"План по допам на " &amp; current_month</f>
        <v>План по допам на Январь</v>
      </c>
      <c r="K4" s="258"/>
      <c r="L4" s="258"/>
      <c r="N4" s="258" t="str">
        <f ca="1">"План по допам нарастающим итогом на "&amp;  DAY(TODAY()) &amp; "." &amp;  MONTH(TODAY())</f>
        <v>План по допам нарастающим итогом на 27.1</v>
      </c>
      <c r="O4" s="258"/>
      <c r="P4" s="258"/>
    </row>
    <row r="5" spans="1:16" s="9" customFormat="1" ht="20.100000000000001" customHeight="1" x14ac:dyDescent="0.25">
      <c r="A5" s="8"/>
      <c r="B5" s="29" t="s">
        <v>0</v>
      </c>
      <c r="C5" s="29" t="s">
        <v>1</v>
      </c>
      <c r="D5" s="29" t="s">
        <v>47</v>
      </c>
      <c r="E5" s="8"/>
      <c r="F5" s="30" t="s">
        <v>0</v>
      </c>
      <c r="G5" s="30" t="s">
        <v>1</v>
      </c>
      <c r="H5" s="29" t="s">
        <v>47</v>
      </c>
      <c r="I5" s="8"/>
      <c r="J5" s="29" t="s">
        <v>0</v>
      </c>
      <c r="K5" s="29" t="s">
        <v>1</v>
      </c>
      <c r="L5" s="29" t="s">
        <v>47</v>
      </c>
      <c r="N5" s="30" t="s">
        <v>0</v>
      </c>
      <c r="O5" s="30" t="s">
        <v>1</v>
      </c>
      <c r="P5" s="29" t="s">
        <v>47</v>
      </c>
    </row>
    <row r="6" spans="1:16" s="23" customFormat="1" ht="50.1" customHeight="1" x14ac:dyDescent="0.5">
      <c r="A6" s="20"/>
      <c r="B6" s="192">
        <f>ПланТуры</f>
        <v>96338</v>
      </c>
      <c r="C6" s="192">
        <f ca="1">SUMIF(INDIRECT("Фактеризация!$C$1:$C$999"),"Прибыль по турам",INDIRECT("Фактеризация!$AI$1:$AI$999"))</f>
        <v>41292</v>
      </c>
      <c r="D6" s="39">
        <f ca="1">IFERROR(C6/B6,0)</f>
        <v>0.42861591479997507</v>
      </c>
      <c r="E6" s="38"/>
      <c r="F6" s="192">
        <f ca="1">IFERROR(B6*НарастающийИтогДоля,0)</f>
        <v>83907.290322580651</v>
      </c>
      <c r="G6" s="192">
        <f ca="1">C6</f>
        <v>41292</v>
      </c>
      <c r="H6" s="39">
        <f ca="1">IFERROR(G6/F6,0)</f>
        <v>0.49211456884441579</v>
      </c>
      <c r="I6" s="38"/>
      <c r="J6" s="192">
        <f>ПланДопы</f>
        <v>0</v>
      </c>
      <c r="K6" s="192">
        <f ca="1">SUMIF(INDIRECT("Фактеризация!$C$1:$C$999"),"Прибыль по допам",INDIRECT("Фактеризация!$AI$1:$AI$999"))</f>
        <v>0</v>
      </c>
      <c r="L6" s="39">
        <f ca="1">IFERROR(K6/J6,0)</f>
        <v>0</v>
      </c>
      <c r="N6" s="192">
        <f ca="1">IFERROR(J6*НарастающийИтогДоля,0)</f>
        <v>0</v>
      </c>
      <c r="O6" s="192">
        <f ca="1">K6</f>
        <v>0</v>
      </c>
      <c r="P6" s="39">
        <f ca="1">IFERROR(O6/N6,0)</f>
        <v>0</v>
      </c>
    </row>
    <row r="7" spans="1:16" s="20" customFormat="1" ht="15" customHeight="1" x14ac:dyDescent="0.25">
      <c r="F7" s="193"/>
      <c r="N7" s="193"/>
    </row>
    <row r="8" spans="1:16" s="20" customFormat="1" ht="15" customHeight="1" outlineLevel="1" collapsed="1" x14ac:dyDescent="0.25">
      <c r="F8" s="193"/>
      <c r="N8" s="193"/>
    </row>
    <row r="9" spans="1:16" ht="20.100000000000001" customHeight="1" outlineLevel="1" x14ac:dyDescent="0.25"/>
    <row r="10" spans="1:16" ht="20.100000000000001" customHeight="1" outlineLevel="1" x14ac:dyDescent="0.25">
      <c r="B10" s="194"/>
    </row>
    <row r="11" spans="1:16" ht="20.100000000000001" customHeight="1" outlineLevel="1" x14ac:dyDescent="0.25"/>
    <row r="12" spans="1:16" ht="20.100000000000001" customHeight="1" outlineLevel="1" x14ac:dyDescent="0.25"/>
    <row r="13" spans="1:16" ht="20.100000000000001" customHeight="1" outlineLevel="1" x14ac:dyDescent="0.25"/>
    <row r="14" spans="1:16" ht="20.100000000000001" customHeight="1" outlineLevel="1" x14ac:dyDescent="0.25"/>
    <row r="15" spans="1:16" ht="20.100000000000001" customHeight="1" outlineLevel="1" x14ac:dyDescent="0.25"/>
    <row r="16" spans="1:16" ht="20.100000000000001" customHeight="1" outlineLevel="1" x14ac:dyDescent="0.25"/>
    <row r="17" spans="1:16" ht="20.100000000000001" customHeight="1" outlineLevel="1" x14ac:dyDescent="0.25"/>
    <row r="18" spans="1:16" s="20" customFormat="1" ht="15" customHeight="1" outlineLevel="1" x14ac:dyDescent="0.25"/>
    <row r="19" spans="1:16" s="20" customFormat="1" ht="15" customHeight="1" x14ac:dyDescent="0.25"/>
    <row r="20" spans="1:16" s="20" customFormat="1" ht="15" customHeight="1" x14ac:dyDescent="0.25"/>
    <row r="21" spans="1:16" s="20" customFormat="1" ht="24.95" customHeight="1" x14ac:dyDescent="0.35">
      <c r="A21" s="188">
        <v>1</v>
      </c>
      <c r="B21" s="272" t="str">
        <f ca="1">INDIRECT("Менеджер_"&amp;A21)</f>
        <v>Менеджер Васильева М.А.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</row>
    <row r="22" spans="1:16" s="20" customFormat="1" ht="15" customHeight="1" x14ac:dyDescent="0.3">
      <c r="A22" s="18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6" ht="20.100000000000001" customHeight="1" x14ac:dyDescent="0.25">
      <c r="A23" s="188"/>
      <c r="B23" s="258" t="str">
        <f>"План по турам на " &amp; current_month</f>
        <v>План по турам на Январь</v>
      </c>
      <c r="C23" s="258"/>
      <c r="D23" s="258"/>
      <c r="E23" s="26"/>
      <c r="F23" s="258" t="str">
        <f ca="1">"План нарастающим итогом на "&amp;  DAY(TODAY()) &amp; "." &amp;  MONTH(TODAY())</f>
        <v>План нарастающим итогом на 27.1</v>
      </c>
      <c r="G23" s="258"/>
      <c r="H23" s="258"/>
      <c r="I23" s="26"/>
      <c r="J23" s="258" t="str">
        <f>"План по доп. услугам на " &amp; current_month</f>
        <v>План по доп. услугам на Январь</v>
      </c>
      <c r="K23" s="258"/>
      <c r="L23" s="258"/>
      <c r="N23" s="258" t="str">
        <f ca="1">"План по допам нарастающим итогом на "&amp;  DAY(TODAY()) &amp; "." &amp;  MONTH(TODAY())</f>
        <v>План по допам нарастающим итогом на 27.1</v>
      </c>
      <c r="O23" s="258"/>
      <c r="P23" s="258"/>
    </row>
    <row r="24" spans="1:16" ht="20.100000000000001" customHeight="1" x14ac:dyDescent="0.25">
      <c r="A24" s="188"/>
      <c r="B24" s="29" t="s">
        <v>0</v>
      </c>
      <c r="C24" s="29" t="s">
        <v>1</v>
      </c>
      <c r="D24" s="29" t="s">
        <v>47</v>
      </c>
      <c r="E24" s="8"/>
      <c r="F24" s="30" t="s">
        <v>0</v>
      </c>
      <c r="G24" s="30" t="s">
        <v>1</v>
      </c>
      <c r="H24" s="30" t="s">
        <v>2</v>
      </c>
      <c r="I24" s="8"/>
      <c r="J24" s="29" t="s">
        <v>0</v>
      </c>
      <c r="K24" s="29" t="s">
        <v>1</v>
      </c>
      <c r="L24" s="29" t="s">
        <v>2</v>
      </c>
      <c r="N24" s="30" t="s">
        <v>0</v>
      </c>
      <c r="O24" s="30" t="s">
        <v>1</v>
      </c>
      <c r="P24" s="29" t="s">
        <v>47</v>
      </c>
    </row>
    <row r="25" spans="1:16" ht="50.1" customHeight="1" x14ac:dyDescent="0.35">
      <c r="A25" s="188"/>
      <c r="B25" s="195">
        <f ca="1">INDIRECT("ЦельТурыМенеджер"&amp;A21)</f>
        <v>38535.200000000004</v>
      </c>
      <c r="C25" s="195">
        <f ca="1">INDIRECT("ФактТурыМенеджер"&amp;A21)</f>
        <v>24163</v>
      </c>
      <c r="D25" s="28">
        <f ca="1">IFERROR(C25/B25,0)</f>
        <v>0.62703709854885914</v>
      </c>
      <c r="E25" s="58"/>
      <c r="F25" s="195">
        <f ca="1">IFERROR(B25*НарастающийИтогДоля,0)</f>
        <v>33562.916129032259</v>
      </c>
      <c r="G25" s="195">
        <f ca="1">C25</f>
        <v>24163</v>
      </c>
      <c r="H25" s="28">
        <f ca="1">IFERROR(G25/F25,0)</f>
        <v>0.71993148351906056</v>
      </c>
      <c r="I25" s="58"/>
      <c r="J25" s="195">
        <f ca="1">INDIRECT("ЦельДопыМенеджер"&amp;A21)</f>
        <v>0</v>
      </c>
      <c r="K25" s="195">
        <f ca="1">INDIRECT("ФактДопыМенеджер"&amp;A21)</f>
        <v>0</v>
      </c>
      <c r="L25" s="28">
        <f ca="1">IFERROR(K25/J25,0)</f>
        <v>0</v>
      </c>
      <c r="N25" s="192">
        <f ca="1">J25*0.25</f>
        <v>0</v>
      </c>
      <c r="O25" s="192">
        <f ca="1">K25</f>
        <v>0</v>
      </c>
      <c r="P25" s="28">
        <f ca="1">IFERROR(O25/N25,0)</f>
        <v>0</v>
      </c>
    </row>
    <row r="26" spans="1:16" s="20" customFormat="1" ht="9.9499999999999993" customHeight="1" collapsed="1" x14ac:dyDescent="0.25">
      <c r="A26" s="188"/>
      <c r="N26" s="193"/>
    </row>
    <row r="27" spans="1:16" ht="20.100000000000001" hidden="1" customHeight="1" outlineLevel="1" x14ac:dyDescent="0.35">
      <c r="A27" s="188"/>
      <c r="B27" s="33" t="s">
        <v>6</v>
      </c>
      <c r="C27" s="33"/>
      <c r="D27" s="196">
        <f ca="1">IF(C25&gt;=INDIRECT("ЗарплатаТурыМега"&amp;A21),"---",IF(FALSE,0,INDEX(INDIRECT("ЗарплатаТурыВсе"&amp;A21),IFERROR(MATCH(C25,INDIRECT("ЗарплатаТурыВсе"&amp;A21),1),0)+1)-C25))</f>
        <v>6665.1600000000035</v>
      </c>
      <c r="F27" s="148" t="str">
        <f ca="1">IF(G25&gt;=F25*1.1,"Пока идем с перевыполнением,",IF(G25&gt;=F25*0.9,"Пока мы в плане,","Пока мы отстаем от плана,"))</f>
        <v>Пока мы отстаем от плана,</v>
      </c>
      <c r="G27" s="20"/>
      <c r="H27" s="20"/>
      <c r="J27" s="33" t="s">
        <v>6</v>
      </c>
      <c r="K27" s="33"/>
      <c r="L27" s="197" t="str">
        <f ca="1">IF(O25&gt;=INDIRECT("ЗарплатаДопыМега"&amp;A21),"---",IF(FALSE,0,INDEX(INDIRECT("ЗарплатаДопыВсе"&amp;A21),IFERROR(MATCH(O25,INDIRECT("ЗарплатаДопыВсе"&amp;A21),1),0)+1)-O25))</f>
        <v>---</v>
      </c>
      <c r="N27" s="148" t="str">
        <f ca="1">IF(O25&gt;=N25*1.1,"Пока идем с перевыполнением,",IF(O25&gt;=N25*0.9,"Пока мы в плане,","Пока мы отстаем от плана,"))</f>
        <v>Пока идем с перевыполнением,</v>
      </c>
      <c r="O27" s="20"/>
      <c r="P27" s="20"/>
    </row>
    <row r="28" spans="1:16" ht="20.100000000000001" hidden="1" customHeight="1" outlineLevel="1" x14ac:dyDescent="0.35">
      <c r="A28" s="188"/>
      <c r="B28" s="33" t="s">
        <v>7</v>
      </c>
      <c r="C28" s="33"/>
      <c r="D28" s="131" t="str">
        <f ca="1">IF(C25&gt;=INDIRECT("ЗарплатаТурыМега"&amp;A21),"---",IF(FALSE,0,CHOOSE(IFERROR(MATCH(C25,INDIRECT("ЗарплатаТурыВсе"&amp;A21),1),0)+1,"I","II","III","Цель","Цель+","Цель++","МегаЦель")))</f>
        <v>III</v>
      </c>
      <c r="F28" s="56" t="str">
        <f ca="1">IF(G25&gt;=F25*1.1,"отличный результат!",IF(G25&gt;=F25*0.9,"хороший результат.","надо нагонять."))</f>
        <v>надо нагонять.</v>
      </c>
      <c r="G28" s="20"/>
      <c r="H28" s="20"/>
      <c r="J28" s="33" t="s">
        <v>7</v>
      </c>
      <c r="K28" s="33"/>
      <c r="L28" s="130" t="str">
        <f ca="1">IF(O25&gt;=INDIRECT("ЗарплатаДопыМега"&amp;A21),"---",IF(FALSE,0,CHOOSE(IFERROR(MATCH(O25,INDIRECT("ЗарплатаДопыВсе"&amp;A21),1),0)+1,"I","II","III","Цель","Цель+","Цель++","МегаЦель")))</f>
        <v>---</v>
      </c>
      <c r="N28" s="56" t="str">
        <f ca="1">IF(O25&gt;=N25*1.1,"отличный результат!",IF(O25&gt;=N25*0.9,"хороший результат.","надо нагонять."))</f>
        <v>отличный результат!</v>
      </c>
    </row>
    <row r="29" spans="1:16" ht="20.100000000000001" hidden="1" customHeight="1" outlineLevel="1" x14ac:dyDescent="0.35">
      <c r="A29" s="188"/>
      <c r="B29" s="33" t="s">
        <v>8</v>
      </c>
      <c r="C29" s="33"/>
      <c r="D29" s="198">
        <f ca="1">IF(C25&gt;=INDIRECT("ЗарплатаТурыМега"&amp;A21),"---",IF(FALSE,0,INDEX(INDIRECT("БонусыТурыВсе"&amp;A21),IFERROR(MATCH(C25,INDIRECT("ЗарплатаТурыВсе"&amp;A21),1),0)+1)))</f>
        <v>4315.9424000000008</v>
      </c>
      <c r="F29" s="56" t="str">
        <f ca="1">IF(G25&gt;=F25*1.1,"Продолжай в том же духе.",IF(G25&gt;=F25*0.9,"Но расслабляться рано!","Позвони клиентам!"))</f>
        <v>Позвони клиентам!</v>
      </c>
      <c r="G29" s="20"/>
      <c r="H29" s="20"/>
      <c r="J29" s="33" t="s">
        <v>8</v>
      </c>
      <c r="K29" s="33"/>
      <c r="L29" s="199" t="str">
        <f ca="1">IF(O25&gt;=INDIRECT("ЗарплатаДопыМега"&amp;A21),"---",IF(FALSE,0,INDEX(INDIRECT("БонусыДопыВсе"&amp;A21),IFERROR(MATCH(O25,INDIRECT("ЗарплатаДопыВсе"&amp;A21),1),0)+1)))</f>
        <v>---</v>
      </c>
      <c r="N29" s="56" t="str">
        <f ca="1">IF(O25&gt;=N25*1.1,"Продолжай в том же духе.",IF(O25&gt;=N25*0.9,"Но расслабляться рано!","Позвони клиентам!"))</f>
        <v>Продолжай в том же духе.</v>
      </c>
    </row>
    <row r="30" spans="1:16" s="20" customFormat="1" ht="9.9499999999999993" hidden="1" customHeight="1" outlineLevel="1" thickBot="1" x14ac:dyDescent="0.3">
      <c r="A30" s="188"/>
      <c r="N30"/>
      <c r="O30"/>
      <c r="P30"/>
    </row>
    <row r="31" spans="1:16" s="20" customFormat="1" ht="18" hidden="1" customHeight="1" outlineLevel="1" x14ac:dyDescent="0.25">
      <c r="A31" s="188"/>
      <c r="B31" s="259" t="s">
        <v>108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/>
    </row>
    <row r="32" spans="1:16" s="20" customFormat="1" ht="18" hidden="1" customHeight="1" outlineLevel="1" x14ac:dyDescent="0.25">
      <c r="A32" s="188"/>
      <c r="B32" s="262" t="s">
        <v>18</v>
      </c>
      <c r="C32" s="263"/>
      <c r="D32" s="264"/>
      <c r="E32" s="35"/>
      <c r="F32" s="141" t="s">
        <v>109</v>
      </c>
      <c r="G32" s="142" t="s">
        <v>13</v>
      </c>
      <c r="H32" s="143" t="s">
        <v>29</v>
      </c>
      <c r="I32" s="139"/>
      <c r="J32" s="263" t="s">
        <v>24</v>
      </c>
      <c r="K32" s="263"/>
      <c r="L32" s="263"/>
      <c r="M32" s="35"/>
      <c r="N32" s="142" t="s">
        <v>109</v>
      </c>
      <c r="O32" s="142" t="s">
        <v>13</v>
      </c>
      <c r="P32" s="144" t="s">
        <v>29</v>
      </c>
    </row>
    <row r="33" spans="1:16" s="20" customFormat="1" ht="18" hidden="1" customHeight="1" outlineLevel="1" x14ac:dyDescent="0.25">
      <c r="A33" s="188"/>
      <c r="B33" s="248" t="str">
        <f>Настройки!$N$5</f>
        <v>Нашел ошибку или внес конструктивную идею по доработке сайта</v>
      </c>
      <c r="C33" s="249"/>
      <c r="D33" s="250"/>
      <c r="E33" s="35"/>
      <c r="F33" s="153">
        <f ca="1">OFFSET(INDIRECT("ХорошиеДелаМенеджер"&amp;A21),0,0)</f>
        <v>0</v>
      </c>
      <c r="G33" s="153">
        <f>Настройки!$O$5</f>
        <v>100</v>
      </c>
      <c r="H33" s="153">
        <f ca="1">F33*G33</f>
        <v>0</v>
      </c>
      <c r="I33" s="139"/>
      <c r="J33" s="265" t="str">
        <f>Настройки!$K$5</f>
        <v>Опоздал на работу</v>
      </c>
      <c r="K33" s="265"/>
      <c r="L33" s="265"/>
      <c r="M33" s="35"/>
      <c r="N33" s="153">
        <f ca="1">OFFSET(INDIRECT("ПлохиеДелаМенеджер"&amp;A21),0,0)</f>
        <v>0</v>
      </c>
      <c r="O33" s="153">
        <f>Настройки!$L$5</f>
        <v>250</v>
      </c>
      <c r="P33" s="153">
        <f ca="1">N33*O33</f>
        <v>0</v>
      </c>
    </row>
    <row r="34" spans="1:16" s="20" customFormat="1" ht="18" hidden="1" customHeight="1" outlineLevel="1" x14ac:dyDescent="0.25">
      <c r="A34" s="188"/>
      <c r="B34" s="248" t="str">
        <f>Настройки!$N$6</f>
        <v>Добавил новую информацию на сайт или обновил существующую</v>
      </c>
      <c r="C34" s="249"/>
      <c r="D34" s="250"/>
      <c r="E34" s="35"/>
      <c r="F34" s="153">
        <f ca="1">OFFSET(INDIRECT("ХорошиеДелаМенеджер"&amp;A21),1,0)</f>
        <v>0</v>
      </c>
      <c r="G34" s="153">
        <f>Настройки!$O$6</f>
        <v>300</v>
      </c>
      <c r="H34" s="153">
        <f t="shared" ref="H34:H39" ca="1" si="0">F34*G34</f>
        <v>0</v>
      </c>
      <c r="I34" s="139"/>
      <c r="J34" s="265" t="str">
        <f>Настройки!$K$6</f>
        <v>Опоздал на работу не предупредив об этом по телефону</v>
      </c>
      <c r="K34" s="265"/>
      <c r="L34" s="265"/>
      <c r="M34" s="35"/>
      <c r="N34" s="153">
        <f ca="1">OFFSET(INDIRECT("ПлохиеДелаМенеджер"&amp;A21),1,0)</f>
        <v>0</v>
      </c>
      <c r="O34" s="153">
        <f>Настройки!$L$6</f>
        <v>300</v>
      </c>
      <c r="P34" s="153">
        <f t="shared" ref="P34:P39" ca="1" si="1">N34*O34</f>
        <v>0</v>
      </c>
    </row>
    <row r="35" spans="1:16" s="20" customFormat="1" ht="18" hidden="1" customHeight="1" outlineLevel="1" x14ac:dyDescent="0.25">
      <c r="A35" s="188"/>
      <c r="B35" s="248" t="str">
        <f>Настройки!$N$7</f>
        <v>Взял отзыв у клиента или рекомендацию у клиента</v>
      </c>
      <c r="C35" s="249"/>
      <c r="D35" s="250"/>
      <c r="E35" s="35"/>
      <c r="F35" s="153">
        <f ca="1">OFFSET(INDIRECT("ХорошиеДелаМенеджер"&amp;A21),2,0)</f>
        <v>0</v>
      </c>
      <c r="G35" s="153">
        <f>Настройки!$O$7</f>
        <v>300</v>
      </c>
      <c r="H35" s="153">
        <f t="shared" ca="1" si="0"/>
        <v>0</v>
      </c>
      <c r="I35" s="139"/>
      <c r="J35" s="265" t="str">
        <f>Настройки!$K$7</f>
        <v>Негативный отзыв клиента о работе менеджера</v>
      </c>
      <c r="K35" s="265"/>
      <c r="L35" s="265"/>
      <c r="M35" s="35"/>
      <c r="N35" s="153">
        <f ca="1">OFFSET(INDIRECT("ПлохиеДелаМенеджер"&amp;A21),2,0)</f>
        <v>0</v>
      </c>
      <c r="O35" s="153">
        <f>Настройки!$L$7</f>
        <v>400</v>
      </c>
      <c r="P35" s="153">
        <f t="shared" ca="1" si="1"/>
        <v>0</v>
      </c>
    </row>
    <row r="36" spans="1:16" s="20" customFormat="1" ht="18" hidden="1" customHeight="1" outlineLevel="1" x14ac:dyDescent="0.25">
      <c r="A36" s="188"/>
      <c r="B36" s="248" t="str">
        <f>Настройки!$N$8</f>
        <v>Выход на работу в выходной или праздничный день</v>
      </c>
      <c r="C36" s="249"/>
      <c r="D36" s="250"/>
      <c r="E36" s="35"/>
      <c r="F36" s="153">
        <f ca="1">OFFSET(INDIRECT("ХорошиеДелаМенеджер"&amp;A21),3,0)</f>
        <v>0</v>
      </c>
      <c r="G36" s="153">
        <f>Настройки!$O$8</f>
        <v>500</v>
      </c>
      <c r="H36" s="153">
        <f t="shared" ca="1" si="0"/>
        <v>0</v>
      </c>
      <c r="I36" s="139"/>
      <c r="J36" s="265" t="str">
        <f>Настройки!$K$8</f>
        <v>Допущенна ошибка в договоре с туристом</v>
      </c>
      <c r="K36" s="265"/>
      <c r="L36" s="265"/>
      <c r="M36" s="35"/>
      <c r="N36" s="153">
        <f ca="1">OFFSET(INDIRECT("ПлохиеДелаМенеджер"&amp;A21),3,0)</f>
        <v>0</v>
      </c>
      <c r="O36" s="153">
        <f>Настройки!$L$8</f>
        <v>500</v>
      </c>
      <c r="P36" s="153">
        <f t="shared" ca="1" si="1"/>
        <v>0</v>
      </c>
    </row>
    <row r="37" spans="1:16" s="20" customFormat="1" ht="18" hidden="1" customHeight="1" outlineLevel="1" x14ac:dyDescent="0.25">
      <c r="A37" s="188"/>
      <c r="B37" s="248" t="str">
        <f>Настройки!$N$9</f>
        <v>Заполнение полной информации об отеле в таблице отелей</v>
      </c>
      <c r="C37" s="249"/>
      <c r="D37" s="250"/>
      <c r="E37" s="35"/>
      <c r="F37" s="153">
        <f ca="1">OFFSET(INDIRECT("ХорошиеДелаМенеджер"&amp;A21),4,0)</f>
        <v>0</v>
      </c>
      <c r="G37" s="153">
        <f>Настройки!$O$9</f>
        <v>100</v>
      </c>
      <c r="H37" s="153">
        <f t="shared" ca="1" si="0"/>
        <v>0</v>
      </c>
      <c r="I37" s="139"/>
      <c r="J37" s="265" t="str">
        <f>Настройки!$K$9</f>
        <v>Не внесена информация о взаимодействии с клиентом в CRM</v>
      </c>
      <c r="K37" s="265"/>
      <c r="L37" s="265"/>
      <c r="M37" s="35"/>
      <c r="N37" s="153">
        <f ca="1">OFFSET(INDIRECT("ПлохиеДелаМенеджер"&amp;A21),4,0)</f>
        <v>0</v>
      </c>
      <c r="O37" s="153">
        <f>Настройки!$L$9</f>
        <v>250</v>
      </c>
      <c r="P37" s="153">
        <f t="shared" ca="1" si="1"/>
        <v>0</v>
      </c>
    </row>
    <row r="38" spans="1:16" s="20" customFormat="1" ht="18" hidden="1" customHeight="1" outlineLevel="1" x14ac:dyDescent="0.25">
      <c r="A38" s="188"/>
      <c r="B38" s="248" t="str">
        <f>Настройки!$N$10</f>
        <v>Подготовил презентацию или доклад по направлению</v>
      </c>
      <c r="C38" s="249"/>
      <c r="D38" s="250"/>
      <c r="E38" s="35"/>
      <c r="F38" s="153">
        <f ca="1">OFFSET(INDIRECT("ХорошиеДелаМенеджер"&amp;A21),5,0)</f>
        <v>0</v>
      </c>
      <c r="G38" s="153">
        <f>Настройки!$O$10</f>
        <v>300</v>
      </c>
      <c r="H38" s="153">
        <f t="shared" ca="1" si="0"/>
        <v>0</v>
      </c>
      <c r="I38" s="139"/>
      <c r="J38" s="265" t="str">
        <f>Настройки!$K$10</f>
        <v>Не знание рекламных акций турагентства</v>
      </c>
      <c r="K38" s="265"/>
      <c r="L38" s="265"/>
      <c r="M38" s="35"/>
      <c r="N38" s="153">
        <f ca="1">OFFSET(INDIRECT("ПлохиеДелаМенеджер"&amp;A21),5,0)</f>
        <v>0</v>
      </c>
      <c r="O38" s="153">
        <f>Настройки!$L$10</f>
        <v>250</v>
      </c>
      <c r="P38" s="153">
        <f t="shared" ca="1" si="1"/>
        <v>0</v>
      </c>
    </row>
    <row r="39" spans="1:16" s="20" customFormat="1" ht="18" hidden="1" customHeight="1" outlineLevel="1" thickBot="1" x14ac:dyDescent="0.3">
      <c r="A39" s="188"/>
      <c r="B39" s="248" t="str">
        <f>Настройки!$N$11</f>
        <v>Подготовил выпуск рассылки</v>
      </c>
      <c r="C39" s="249"/>
      <c r="D39" s="250"/>
      <c r="E39" s="37"/>
      <c r="F39" s="153">
        <f ca="1">OFFSET(INDIRECT("ХорошиеДелаМенеджер"&amp;A21),6,0)</f>
        <v>0</v>
      </c>
      <c r="G39" s="153">
        <f>Настройки!$O$11</f>
        <v>500</v>
      </c>
      <c r="H39" s="153">
        <f t="shared" ca="1" si="0"/>
        <v>0</v>
      </c>
      <c r="I39" s="140"/>
      <c r="J39" s="265" t="str">
        <f>Настройки!$K$11</f>
        <v>В CRM указан не корректный источник рекламы</v>
      </c>
      <c r="K39" s="265"/>
      <c r="L39" s="265"/>
      <c r="M39" s="37"/>
      <c r="N39" s="153">
        <f ca="1">OFFSET(INDIRECT("ПлохиеДелаМенеджер"&amp;A21),6,0)</f>
        <v>0</v>
      </c>
      <c r="O39" s="153">
        <f>Настройки!$L$11</f>
        <v>250</v>
      </c>
      <c r="P39" s="153">
        <f t="shared" ca="1" si="1"/>
        <v>0</v>
      </c>
    </row>
    <row r="40" spans="1:16" s="20" customFormat="1" ht="9.9499999999999993" hidden="1" customHeight="1" outlineLevel="1" thickBot="1" x14ac:dyDescent="0.3">
      <c r="A40" s="188"/>
      <c r="N40"/>
      <c r="O40"/>
      <c r="P40"/>
    </row>
    <row r="41" spans="1:16" ht="18.75" hidden="1" outlineLevel="1" x14ac:dyDescent="0.25">
      <c r="A41" s="188"/>
      <c r="B41" s="269" t="s">
        <v>50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1"/>
      <c r="N41" s="266" t="str">
        <f ca="1">"Моя зарплата на " &amp;   DAY(TODAY()) &amp; "." &amp;  MONTH(TODAY())</f>
        <v>Моя зарплата на 27.1</v>
      </c>
      <c r="O41" s="267"/>
      <c r="P41" s="268"/>
    </row>
    <row r="42" spans="1:16" ht="18" hidden="1" customHeight="1" outlineLevel="1" x14ac:dyDescent="0.25">
      <c r="A42" s="188"/>
      <c r="B42" s="251" t="s">
        <v>25</v>
      </c>
      <c r="C42" s="252"/>
      <c r="D42" s="253"/>
      <c r="E42" s="145"/>
      <c r="F42" s="146" t="s">
        <v>0</v>
      </c>
      <c r="G42" s="147" t="s">
        <v>1</v>
      </c>
      <c r="H42" s="138" t="s">
        <v>26</v>
      </c>
      <c r="I42" s="139"/>
      <c r="J42" s="138" t="s">
        <v>48</v>
      </c>
      <c r="K42" s="254" t="s">
        <v>12</v>
      </c>
      <c r="L42" s="255"/>
      <c r="N42" s="256" t="s">
        <v>49</v>
      </c>
      <c r="O42" s="257"/>
      <c r="P42" s="200">
        <f ca="1">INDIRECT("ЗарплатаТурыМенеджер"&amp;A21)</f>
        <v>2774.5344</v>
      </c>
    </row>
    <row r="43" spans="1:16" ht="18" hidden="1" customHeight="1" outlineLevel="1" x14ac:dyDescent="0.25">
      <c r="A43" s="188"/>
      <c r="B43" s="248">
        <f ca="1">OFFSET(INDIRECT("ИндивидуальныеЗаданияМенеджер"&amp;A21),0,0)</f>
        <v>0</v>
      </c>
      <c r="C43" s="249"/>
      <c r="D43" s="250"/>
      <c r="E43" s="35"/>
      <c r="F43" s="57">
        <f ca="1">OFFSET(INDIRECT("ИндивидуальныеЗаданияМенеджер"&amp;A21),0,9)</f>
        <v>0</v>
      </c>
      <c r="G43" s="173">
        <f ca="1">OFFSET(INDIRECT("ИндивидуальныеЗаданияМенеджер"&amp;A21),0,11)</f>
        <v>0</v>
      </c>
      <c r="H43" s="174">
        <f ca="1">OFFSET(INDIRECT("ИндивидуальныеЗаданияМенеджер"&amp;A21),0,12)</f>
        <v>0</v>
      </c>
      <c r="I43" s="139"/>
      <c r="J43" s="149">
        <f ca="1">OFFSET(INDIRECT("ИндивидуальныеЗаданияМенеджер"&amp;A21),1,9)</f>
        <v>0</v>
      </c>
      <c r="K43" s="237">
        <f ca="1">OFFSET(INDIRECT("ИндивидуальныеЗаданияМенеджер"&amp;A21),0,13)</f>
        <v>0</v>
      </c>
      <c r="L43" s="238"/>
      <c r="N43" s="256" t="s">
        <v>53</v>
      </c>
      <c r="O43" s="257"/>
      <c r="P43" s="200">
        <f ca="1">INDIRECT("ЗарплатаДопыМенеджер"&amp;A21)</f>
        <v>0</v>
      </c>
    </row>
    <row r="44" spans="1:16" ht="18" hidden="1" customHeight="1" outlineLevel="1" x14ac:dyDescent="0.25">
      <c r="A44" s="188"/>
      <c r="B44" s="248">
        <f ca="1">OFFSET(INDIRECT("ИндивидуальныеЗаданияМенеджер"&amp;A21),2,0)</f>
        <v>0</v>
      </c>
      <c r="C44" s="249"/>
      <c r="D44" s="250"/>
      <c r="E44" s="36"/>
      <c r="F44" s="57">
        <f ca="1">OFFSET(INDIRECT("ИндивидуальныеЗаданияМенеджер"&amp;A21),2,9)</f>
        <v>0</v>
      </c>
      <c r="G44" s="173">
        <f ca="1">OFFSET(INDIRECT("ИндивидуальныеЗаданияМенеджер"&amp;A21),2,11)</f>
        <v>0</v>
      </c>
      <c r="H44" s="174">
        <f ca="1">OFFSET(INDIRECT("ИндивидуальныеЗаданияМенеджер"&amp;A21),2,12)</f>
        <v>0</v>
      </c>
      <c r="I44" s="139"/>
      <c r="J44" s="149">
        <f ca="1">OFFSET(INDIRECT("ИндивидуальныеЗаданияМенеджер"&amp;A21),3,9)</f>
        <v>0</v>
      </c>
      <c r="K44" s="237">
        <f ca="1">OFFSET(INDIRECT("ИндивидуальныеЗаданияМенеджер"&amp;A21),2,13)</f>
        <v>0</v>
      </c>
      <c r="L44" s="238"/>
      <c r="N44" s="256" t="s">
        <v>54</v>
      </c>
      <c r="O44" s="257"/>
      <c r="P44" s="200">
        <f ca="1">SUM(INDIRECT("ЗарплатаИзМенеджер"&amp;A21))</f>
        <v>0</v>
      </c>
    </row>
    <row r="45" spans="1:16" ht="18" hidden="1" customHeight="1" outlineLevel="1" x14ac:dyDescent="0.25">
      <c r="A45" s="188"/>
      <c r="B45" s="248">
        <f ca="1">OFFSET(INDIRECT("ИндивидуальныеЗаданияМенеджер"&amp;A21),4,0)</f>
        <v>0</v>
      </c>
      <c r="C45" s="249"/>
      <c r="D45" s="250"/>
      <c r="E45" s="36"/>
      <c r="F45" s="150">
        <f ca="1">OFFSET(INDIRECT("ИндивидуальныеЗаданияМенеджер"&amp;A21),4,9)</f>
        <v>0</v>
      </c>
      <c r="G45" s="174">
        <f ca="1">OFFSET(INDIRECT("ИндивидуальныеЗаданияМенеджер"&amp;A21),4,11)</f>
        <v>0</v>
      </c>
      <c r="H45" s="174">
        <f ca="1">OFFSET(INDIRECT("ИндивидуальныеЗаданияМенеджер"&amp;A21),4,12)</f>
        <v>0</v>
      </c>
      <c r="I45" s="139"/>
      <c r="J45" s="149">
        <f ca="1">OFFSET(INDIRECT("ИндивидуальныеЗаданияМенеджер"&amp;A21),5,9)</f>
        <v>0</v>
      </c>
      <c r="K45" s="237">
        <f ca="1">OFFSET(INDIRECT("ИндивидуальныеЗаданияМенеджер"&amp;A21),4,13)</f>
        <v>0</v>
      </c>
      <c r="L45" s="238"/>
      <c r="N45" s="256" t="s">
        <v>51</v>
      </c>
      <c r="O45" s="257"/>
      <c r="P45" s="200">
        <f ca="1">INDIRECT("ЗарплатаКармаМенеджер"&amp;A21)</f>
        <v>0</v>
      </c>
    </row>
    <row r="46" spans="1:16" ht="18" hidden="1" customHeight="1" outlineLevel="1" thickBot="1" x14ac:dyDescent="0.3">
      <c r="A46" s="188"/>
      <c r="B46" s="248">
        <f ca="1">OFFSET(INDIRECT("ИндивидуальныеЗаданияМенеджер"&amp;A21),6,0)</f>
        <v>0</v>
      </c>
      <c r="C46" s="249"/>
      <c r="D46" s="250"/>
      <c r="E46" s="36"/>
      <c r="F46" s="150">
        <f ca="1">OFFSET(INDIRECT("ИндивидуальныеЗаданияМенеджер"&amp;A21),6,9)</f>
        <v>0</v>
      </c>
      <c r="G46" s="174">
        <f ca="1">OFFSET(INDIRECT("ИндивидуальныеЗаданияМенеджер"&amp;A21),6,11)</f>
        <v>0</v>
      </c>
      <c r="H46" s="174">
        <f ca="1">OFFSET(INDIRECT("ИндивидуальныеЗаданияМенеджер"&amp;A21),6,12)</f>
        <v>0</v>
      </c>
      <c r="I46" s="139"/>
      <c r="J46" s="149">
        <f ca="1">OFFSET(INDIRECT("ИндивидуальныеЗаданияМенеджер"&amp;A21),7,9)</f>
        <v>0</v>
      </c>
      <c r="K46" s="237">
        <f ca="1">OFFSET(INDIRECT("ИндивидуальныеЗаданияМенеджер"&amp;A21),6,13)</f>
        <v>0</v>
      </c>
      <c r="L46" s="238"/>
      <c r="N46" s="239" t="s">
        <v>52</v>
      </c>
      <c r="O46" s="240"/>
      <c r="P46" s="201">
        <f ca="1">INDIRECT("ЗарплатаОкладМенеджер"&amp;A21)</f>
        <v>16000</v>
      </c>
    </row>
    <row r="47" spans="1:16" ht="18" hidden="1" customHeight="1" outlineLevel="1" thickBot="1" x14ac:dyDescent="0.3">
      <c r="A47" s="188"/>
      <c r="B47" s="241">
        <f ca="1">OFFSET(INDIRECT("ИндивидуальныеЗаданияМенеджер"&amp;A21),8,0)</f>
        <v>0</v>
      </c>
      <c r="C47" s="242"/>
      <c r="D47" s="243"/>
      <c r="E47" s="37"/>
      <c r="F47" s="151">
        <f ca="1">OFFSET(INDIRECT("ИндивидуальныеЗаданияМенеджер"&amp;A21),8,9)</f>
        <v>0</v>
      </c>
      <c r="G47" s="175">
        <f ca="1">OFFSET(INDIRECT("ИндивидуальныеЗаданияМенеджер"&amp;A21),8,11)</f>
        <v>0</v>
      </c>
      <c r="H47" s="175">
        <f ca="1">OFFSET(INDIRECT("ИндивидуальныеЗаданияМенеджер"&amp;A21),8,12)</f>
        <v>0</v>
      </c>
      <c r="I47" s="140"/>
      <c r="J47" s="176">
        <f ca="1">OFFSET(INDIRECT("ИндивидуальныеЗаданияМенеджер"&amp;A21),9,9)</f>
        <v>0</v>
      </c>
      <c r="K47" s="244">
        <f ca="1">OFFSET(INDIRECT("ИндивидуальныеЗаданияМенеджер"&amp;A21),8,13)</f>
        <v>0</v>
      </c>
      <c r="L47" s="245"/>
      <c r="N47" s="246" t="s">
        <v>27</v>
      </c>
      <c r="O47" s="247"/>
      <c r="P47" s="202">
        <f ca="1">SUM(P42:P46)</f>
        <v>18774.5344</v>
      </c>
    </row>
    <row r="48" spans="1:16" ht="9.9499999999999993" hidden="1" customHeight="1" outlineLevel="1" x14ac:dyDescent="0.25">
      <c r="A48" s="188"/>
      <c r="B48" s="132"/>
      <c r="C48" s="132"/>
      <c r="D48" s="133"/>
      <c r="E48" s="134"/>
      <c r="F48" s="135"/>
      <c r="G48" s="136"/>
      <c r="H48" s="137"/>
      <c r="I48" s="24"/>
      <c r="J48" s="129"/>
      <c r="K48" s="129"/>
      <c r="L48" s="203"/>
      <c r="N48" s="20"/>
      <c r="O48" s="20"/>
      <c r="P48" s="20"/>
    </row>
    <row r="49" spans="1:16" s="20" customFormat="1" ht="15" customHeight="1" x14ac:dyDescent="0.25">
      <c r="A49" s="188"/>
    </row>
    <row r="50" spans="1:16" s="20" customFormat="1" ht="24.95" customHeight="1" x14ac:dyDescent="0.35">
      <c r="A50" s="188">
        <f>A21+1</f>
        <v>2</v>
      </c>
      <c r="B50" s="272" t="str">
        <f ca="1">INDIRECT("Менеджер_"&amp;A50)</f>
        <v>Менеджер Антоненко Н.Л.</v>
      </c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</row>
    <row r="51" spans="1:16" s="20" customFormat="1" ht="15" customHeight="1" x14ac:dyDescent="0.3">
      <c r="A51" s="188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6" ht="20.100000000000001" customHeight="1" x14ac:dyDescent="0.25">
      <c r="A52" s="188"/>
      <c r="B52" s="258" t="str">
        <f>"План по турам на " &amp; current_month</f>
        <v>План по турам на Январь</v>
      </c>
      <c r="C52" s="258"/>
      <c r="D52" s="258"/>
      <c r="E52" s="26"/>
      <c r="F52" s="258" t="str">
        <f ca="1">"План нарастающим итогом на "&amp;  DAY(TODAY()) &amp; "." &amp;  MONTH(TODAY())</f>
        <v>План нарастающим итогом на 27.1</v>
      </c>
      <c r="G52" s="258"/>
      <c r="H52" s="258"/>
      <c r="I52" s="26"/>
      <c r="J52" s="258" t="str">
        <f>"План по доп. услугам на " &amp; current_month</f>
        <v>План по доп. услугам на Январь</v>
      </c>
      <c r="K52" s="258"/>
      <c r="L52" s="258"/>
      <c r="N52" s="258" t="str">
        <f ca="1">"План по допам нарастающим итогом на "&amp;  DAY(TODAY()) &amp; "." &amp;  MONTH(TODAY())</f>
        <v>План по допам нарастающим итогом на 27.1</v>
      </c>
      <c r="O52" s="258"/>
      <c r="P52" s="258"/>
    </row>
    <row r="53" spans="1:16" ht="20.100000000000001" customHeight="1" x14ac:dyDescent="0.25">
      <c r="A53" s="188"/>
      <c r="B53" s="29" t="s">
        <v>0</v>
      </c>
      <c r="C53" s="29" t="s">
        <v>1</v>
      </c>
      <c r="D53" s="29" t="s">
        <v>47</v>
      </c>
      <c r="E53" s="8"/>
      <c r="F53" s="30" t="s">
        <v>0</v>
      </c>
      <c r="G53" s="30" t="s">
        <v>1</v>
      </c>
      <c r="H53" s="30" t="s">
        <v>2</v>
      </c>
      <c r="I53" s="8"/>
      <c r="J53" s="29" t="s">
        <v>0</v>
      </c>
      <c r="K53" s="29" t="s">
        <v>1</v>
      </c>
      <c r="L53" s="29" t="s">
        <v>2</v>
      </c>
      <c r="N53" s="30" t="s">
        <v>0</v>
      </c>
      <c r="O53" s="30" t="s">
        <v>1</v>
      </c>
      <c r="P53" s="29" t="s">
        <v>47</v>
      </c>
    </row>
    <row r="54" spans="1:16" ht="50.1" customHeight="1" x14ac:dyDescent="0.35">
      <c r="A54" s="188"/>
      <c r="B54" s="195">
        <f ca="1">INDIRECT("ЦельТурыМенеджер"&amp;A50)</f>
        <v>57802.799999999996</v>
      </c>
      <c r="C54" s="195">
        <f ca="1">INDIRECT("ФактТурыМенеджер"&amp;A50)</f>
        <v>17129</v>
      </c>
      <c r="D54" s="28">
        <f ca="1">IFERROR(C54/B54,0)</f>
        <v>0.29633512563405234</v>
      </c>
      <c r="E54" s="58"/>
      <c r="F54" s="195">
        <f ca="1">IFERROR(B54*НарастающийИтогДоля,0)</f>
        <v>50344.374193548385</v>
      </c>
      <c r="G54" s="195">
        <f ca="1">C54</f>
        <v>17129</v>
      </c>
      <c r="H54" s="28">
        <f ca="1">IFERROR(G54/F54,0)</f>
        <v>0.34023662572798602</v>
      </c>
      <c r="I54" s="58"/>
      <c r="J54" s="195">
        <f ca="1">INDIRECT("ЦельДопыМенеджер"&amp;A50)</f>
        <v>0</v>
      </c>
      <c r="K54" s="195">
        <f ca="1">INDIRECT("ФактДопыМенеджер"&amp;A50)</f>
        <v>0</v>
      </c>
      <c r="L54" s="28">
        <f ca="1">IFERROR(K54/J54,0)</f>
        <v>0</v>
      </c>
      <c r="N54" s="192">
        <f ca="1">J54*0.25</f>
        <v>0</v>
      </c>
      <c r="O54" s="192">
        <f ca="1">K54</f>
        <v>0</v>
      </c>
      <c r="P54" s="28">
        <f ca="1">IFERROR(O54/N54,0)</f>
        <v>0</v>
      </c>
    </row>
    <row r="55" spans="1:16" s="20" customFormat="1" ht="9.9499999999999993" customHeight="1" collapsed="1" x14ac:dyDescent="0.25">
      <c r="A55" s="188"/>
      <c r="N55" s="193"/>
    </row>
    <row r="56" spans="1:16" ht="20.100000000000001" hidden="1" customHeight="1" outlineLevel="1" x14ac:dyDescent="0.35">
      <c r="A56" s="188"/>
      <c r="B56" s="33" t="s">
        <v>6</v>
      </c>
      <c r="C56" s="33"/>
      <c r="D56" s="196">
        <f ca="1">IF(C54&gt;=INDIRECT("ЗарплатаТурыМега"&amp;A50),"---",IF(FALSE,0,INDEX(INDIRECT("ЗарплатаТурыВсе"&amp;A50),IFERROR(MATCH(C54,INDIRECT("ЗарплатаТурыВсе"&amp;A50),1),0)+1)-C54))</f>
        <v>5992.119999999999</v>
      </c>
      <c r="F56" s="148" t="str">
        <f ca="1">IF(G54&gt;=F54*1.1,"Пока идем с перевыполнением,",IF(G54&gt;=F54*0.9,"Пока мы в плане,","Пока мы отстаем от плана,"))</f>
        <v>Пока мы отстаем от плана,</v>
      </c>
      <c r="G56" s="20"/>
      <c r="H56" s="20"/>
      <c r="J56" s="33" t="s">
        <v>6</v>
      </c>
      <c r="K56" s="33"/>
      <c r="L56" s="197" t="str">
        <f ca="1">IF(O54&gt;=INDIRECT("ЗарплатаДопыМега"&amp;A50),"---",IF(FALSE,0,INDEX(INDIRECT("ЗарплатаДопыВсе"&amp;A50),IFERROR(MATCH(O54,INDIRECT("ЗарплатаДопыВсе"&amp;A50),1),0)+1)-O54))</f>
        <v>---</v>
      </c>
      <c r="N56" s="148" t="str">
        <f ca="1">IF(O54&gt;=N54*1.1,"Пока идем с перевыполнением,",IF(O54&gt;=N54*0.9,"Пока мы в плане,","Пока мы отстаем от плана,"))</f>
        <v>Пока идем с перевыполнением,</v>
      </c>
      <c r="O56" s="20"/>
      <c r="P56" s="20"/>
    </row>
    <row r="57" spans="1:16" ht="20.100000000000001" hidden="1" customHeight="1" outlineLevel="1" x14ac:dyDescent="0.35">
      <c r="A57" s="188"/>
      <c r="B57" s="33" t="s">
        <v>7</v>
      </c>
      <c r="C57" s="33"/>
      <c r="D57" s="131" t="str">
        <f ca="1">IF(C54&gt;=INDIRECT("ЗарплатаТурыМега"&amp;A50),"---",IF(FALSE,0,CHOOSE(IFERROR(MATCH(C54,INDIRECT("ЗарплатаТурыВсе"&amp;A50),1),0)+1,"I","II","III","Цель","Цель+","Цель++","МегаЦель")))</f>
        <v>I</v>
      </c>
      <c r="F57" s="56" t="str">
        <f ca="1">IF(G54&gt;=F54*1.1,"отличный результат!",IF(G54&gt;=F54*0.9,"хороший результат.","надо нагонять."))</f>
        <v>надо нагонять.</v>
      </c>
      <c r="G57" s="20"/>
      <c r="H57" s="20"/>
      <c r="J57" s="33" t="s">
        <v>7</v>
      </c>
      <c r="K57" s="33"/>
      <c r="L57" s="130" t="str">
        <f ca="1">IF(O54&gt;=INDIRECT("ЗарплатаДопыМега"&amp;A50),"---",IF(FALSE,0,CHOOSE(IFERROR(MATCH(O54,INDIRECT("ЗарплатаДопыВсе"&amp;A50),1),0)+1,"I","II","III","Цель","Цель+","Цель++","МегаЦель")))</f>
        <v>---</v>
      </c>
      <c r="N57" s="56" t="str">
        <f ca="1">IF(O54&gt;=N54*1.1,"отличный результат!",IF(O54&gt;=N54*0.9,"хороший результат.","надо нагонять."))</f>
        <v>отличный результат!</v>
      </c>
    </row>
    <row r="58" spans="1:16" ht="20.100000000000001" hidden="1" customHeight="1" outlineLevel="1" x14ac:dyDescent="0.35">
      <c r="A58" s="188"/>
      <c r="B58" s="33" t="s">
        <v>8</v>
      </c>
      <c r="C58" s="33"/>
      <c r="D58" s="198">
        <f ca="1">IF(C54&gt;=INDIRECT("ЗарплатаТурыМега"&amp;A50),"---",IF(FALSE,0,INDEX(INDIRECT("БонусыТурыВсе"&amp;A50),IFERROR(MATCH(C54,INDIRECT("ЗарплатаТурыВсе"&amp;A50),1),0)+1)))</f>
        <v>2312.1120000000001</v>
      </c>
      <c r="F58" s="56" t="str">
        <f ca="1">IF(G54&gt;=F54*1.1,"Продолжай в том же духе.",IF(G54&gt;=F54*0.9,"Но расслабляться рано!","Позвони клиентам!"))</f>
        <v>Позвони клиентам!</v>
      </c>
      <c r="G58" s="20"/>
      <c r="H58" s="20"/>
      <c r="J58" s="33" t="s">
        <v>8</v>
      </c>
      <c r="K58" s="33"/>
      <c r="L58" s="199" t="str">
        <f ca="1">IF(O54&gt;=INDIRECT("ЗарплатаДопыМега"&amp;A50),"---",IF(FALSE,0,INDEX(INDIRECT("БонусыДопыВсе"&amp;A50),IFERROR(MATCH(O54,INDIRECT("ЗарплатаДопыВсе"&amp;A50),1),0)+1)))</f>
        <v>---</v>
      </c>
      <c r="N58" s="56" t="str">
        <f ca="1">IF(O54&gt;=N54*1.1,"Продолжай в том же духе.",IF(O54&gt;=N54*0.9,"Но расслабляться рано!","Позвони клиентам!"))</f>
        <v>Продолжай в том же духе.</v>
      </c>
    </row>
    <row r="59" spans="1:16" s="20" customFormat="1" ht="9.9499999999999993" hidden="1" customHeight="1" outlineLevel="1" thickBot="1" x14ac:dyDescent="0.3">
      <c r="A59" s="188"/>
      <c r="N59"/>
      <c r="O59"/>
      <c r="P59"/>
    </row>
    <row r="60" spans="1:16" s="20" customFormat="1" ht="18" hidden="1" customHeight="1" outlineLevel="1" x14ac:dyDescent="0.25">
      <c r="A60" s="188"/>
      <c r="B60" s="259" t="s">
        <v>108</v>
      </c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1"/>
    </row>
    <row r="61" spans="1:16" s="20" customFormat="1" ht="18" hidden="1" customHeight="1" outlineLevel="1" x14ac:dyDescent="0.25">
      <c r="A61" s="188"/>
      <c r="B61" s="262" t="s">
        <v>18</v>
      </c>
      <c r="C61" s="263"/>
      <c r="D61" s="264"/>
      <c r="E61" s="35"/>
      <c r="F61" s="141" t="s">
        <v>109</v>
      </c>
      <c r="G61" s="142" t="s">
        <v>13</v>
      </c>
      <c r="H61" s="143" t="s">
        <v>29</v>
      </c>
      <c r="I61" s="139"/>
      <c r="J61" s="263" t="s">
        <v>24</v>
      </c>
      <c r="K61" s="263"/>
      <c r="L61" s="263"/>
      <c r="M61" s="35"/>
      <c r="N61" s="142" t="s">
        <v>109</v>
      </c>
      <c r="O61" s="142" t="s">
        <v>13</v>
      </c>
      <c r="P61" s="144" t="s">
        <v>29</v>
      </c>
    </row>
    <row r="62" spans="1:16" s="20" customFormat="1" ht="18" hidden="1" customHeight="1" outlineLevel="1" x14ac:dyDescent="0.25">
      <c r="A62" s="188"/>
      <c r="B62" s="248" t="str">
        <f>Настройки!$N$5</f>
        <v>Нашел ошибку или внес конструктивную идею по доработке сайта</v>
      </c>
      <c r="C62" s="249"/>
      <c r="D62" s="250"/>
      <c r="E62" s="35"/>
      <c r="F62" s="153">
        <f ca="1">OFFSET(INDIRECT("ХорошиеДелаМенеджер"&amp;A50),0,0)</f>
        <v>0</v>
      </c>
      <c r="G62" s="153">
        <f>Настройки!$O$5</f>
        <v>100</v>
      </c>
      <c r="H62" s="153">
        <f ca="1">F62*G62</f>
        <v>0</v>
      </c>
      <c r="I62" s="139"/>
      <c r="J62" s="265" t="str">
        <f>Настройки!$K$5</f>
        <v>Опоздал на работу</v>
      </c>
      <c r="K62" s="265"/>
      <c r="L62" s="265"/>
      <c r="M62" s="35"/>
      <c r="N62" s="153">
        <f ca="1">OFFSET(INDIRECT("ПлохиеДелаМенеджер"&amp;A50),0,0)</f>
        <v>0</v>
      </c>
      <c r="O62" s="153">
        <f>Настройки!$L$5</f>
        <v>250</v>
      </c>
      <c r="P62" s="153">
        <f ca="1">N62*O62</f>
        <v>0</v>
      </c>
    </row>
    <row r="63" spans="1:16" s="20" customFormat="1" ht="18" hidden="1" customHeight="1" outlineLevel="1" x14ac:dyDescent="0.25">
      <c r="A63" s="188"/>
      <c r="B63" s="248" t="str">
        <f>Настройки!$N$6</f>
        <v>Добавил новую информацию на сайт или обновил существующую</v>
      </c>
      <c r="C63" s="249"/>
      <c r="D63" s="250"/>
      <c r="E63" s="35"/>
      <c r="F63" s="153">
        <f ca="1">OFFSET(INDIRECT("ХорошиеДелаМенеджер"&amp;A50),1,0)</f>
        <v>0</v>
      </c>
      <c r="G63" s="153">
        <f>Настройки!$O$6</f>
        <v>300</v>
      </c>
      <c r="H63" s="153">
        <f t="shared" ref="H63:H68" ca="1" si="2">F63*G63</f>
        <v>0</v>
      </c>
      <c r="I63" s="139"/>
      <c r="J63" s="265" t="str">
        <f>Настройки!$K$6</f>
        <v>Опоздал на работу не предупредив об этом по телефону</v>
      </c>
      <c r="K63" s="265"/>
      <c r="L63" s="265"/>
      <c r="M63" s="35"/>
      <c r="N63" s="153">
        <f ca="1">OFFSET(INDIRECT("ПлохиеДелаМенеджер"&amp;A50),1,0)</f>
        <v>0</v>
      </c>
      <c r="O63" s="153">
        <f>Настройки!$L$6</f>
        <v>300</v>
      </c>
      <c r="P63" s="153">
        <f t="shared" ref="P63:P68" ca="1" si="3">N63*O63</f>
        <v>0</v>
      </c>
    </row>
    <row r="64" spans="1:16" s="20" customFormat="1" ht="18" hidden="1" customHeight="1" outlineLevel="1" x14ac:dyDescent="0.25">
      <c r="A64" s="188"/>
      <c r="B64" s="248" t="str">
        <f>Настройки!$N$7</f>
        <v>Взял отзыв у клиента или рекомендацию у клиента</v>
      </c>
      <c r="C64" s="249"/>
      <c r="D64" s="250"/>
      <c r="E64" s="35"/>
      <c r="F64" s="153">
        <f ca="1">OFFSET(INDIRECT("ХорошиеДелаМенеджер"&amp;A50),2,0)</f>
        <v>0</v>
      </c>
      <c r="G64" s="153">
        <f>Настройки!$O$7</f>
        <v>300</v>
      </c>
      <c r="H64" s="153">
        <f t="shared" ca="1" si="2"/>
        <v>0</v>
      </c>
      <c r="I64" s="139"/>
      <c r="J64" s="265" t="str">
        <f>Настройки!$K$7</f>
        <v>Негативный отзыв клиента о работе менеджера</v>
      </c>
      <c r="K64" s="265"/>
      <c r="L64" s="265"/>
      <c r="M64" s="35"/>
      <c r="N64" s="153">
        <f ca="1">OFFSET(INDIRECT("ПлохиеДелаМенеджер"&amp;A50),2,0)</f>
        <v>0</v>
      </c>
      <c r="O64" s="153">
        <f>Настройки!$L$7</f>
        <v>400</v>
      </c>
      <c r="P64" s="153">
        <f t="shared" ca="1" si="3"/>
        <v>0</v>
      </c>
    </row>
    <row r="65" spans="1:16" s="20" customFormat="1" ht="18" hidden="1" customHeight="1" outlineLevel="1" x14ac:dyDescent="0.25">
      <c r="A65" s="188"/>
      <c r="B65" s="248" t="str">
        <f>Настройки!$N$8</f>
        <v>Выход на работу в выходной или праздничный день</v>
      </c>
      <c r="C65" s="249"/>
      <c r="D65" s="250"/>
      <c r="E65" s="35"/>
      <c r="F65" s="153">
        <f ca="1">OFFSET(INDIRECT("ХорошиеДелаМенеджер"&amp;A50),3,0)</f>
        <v>0</v>
      </c>
      <c r="G65" s="153">
        <f>Настройки!$O$8</f>
        <v>500</v>
      </c>
      <c r="H65" s="153">
        <f t="shared" ca="1" si="2"/>
        <v>0</v>
      </c>
      <c r="I65" s="139"/>
      <c r="J65" s="265" t="str">
        <f>Настройки!$K$8</f>
        <v>Допущенна ошибка в договоре с туристом</v>
      </c>
      <c r="K65" s="265"/>
      <c r="L65" s="265"/>
      <c r="M65" s="35"/>
      <c r="N65" s="153">
        <f ca="1">OFFSET(INDIRECT("ПлохиеДелаМенеджер"&amp;A50),3,0)</f>
        <v>0</v>
      </c>
      <c r="O65" s="153">
        <f>Настройки!$L$8</f>
        <v>500</v>
      </c>
      <c r="P65" s="153">
        <f t="shared" ca="1" si="3"/>
        <v>0</v>
      </c>
    </row>
    <row r="66" spans="1:16" s="20" customFormat="1" ht="18" hidden="1" customHeight="1" outlineLevel="1" x14ac:dyDescent="0.25">
      <c r="A66" s="188"/>
      <c r="B66" s="248" t="str">
        <f>Настройки!$N$9</f>
        <v>Заполнение полной информации об отеле в таблице отелей</v>
      </c>
      <c r="C66" s="249"/>
      <c r="D66" s="250"/>
      <c r="E66" s="35"/>
      <c r="F66" s="153">
        <f ca="1">OFFSET(INDIRECT("ХорошиеДелаМенеджер"&amp;A50),4,0)</f>
        <v>0</v>
      </c>
      <c r="G66" s="153">
        <f>Настройки!$O$9</f>
        <v>100</v>
      </c>
      <c r="H66" s="153">
        <f t="shared" ca="1" si="2"/>
        <v>0</v>
      </c>
      <c r="I66" s="139"/>
      <c r="J66" s="265" t="str">
        <f>Настройки!$K$9</f>
        <v>Не внесена информация о взаимодействии с клиентом в CRM</v>
      </c>
      <c r="K66" s="265"/>
      <c r="L66" s="265"/>
      <c r="M66" s="35"/>
      <c r="N66" s="153">
        <f ca="1">OFFSET(INDIRECT("ПлохиеДелаМенеджер"&amp;A50),4,0)</f>
        <v>0</v>
      </c>
      <c r="O66" s="153">
        <f>Настройки!$L$9</f>
        <v>250</v>
      </c>
      <c r="P66" s="153">
        <f t="shared" ca="1" si="3"/>
        <v>0</v>
      </c>
    </row>
    <row r="67" spans="1:16" s="20" customFormat="1" ht="18" hidden="1" customHeight="1" outlineLevel="1" x14ac:dyDescent="0.25">
      <c r="A67" s="188"/>
      <c r="B67" s="248" t="str">
        <f>Настройки!$N$10</f>
        <v>Подготовил презентацию или доклад по направлению</v>
      </c>
      <c r="C67" s="249"/>
      <c r="D67" s="250"/>
      <c r="E67" s="35"/>
      <c r="F67" s="153">
        <f ca="1">OFFSET(INDIRECT("ХорошиеДелаМенеджер"&amp;A50),5,0)</f>
        <v>0</v>
      </c>
      <c r="G67" s="153">
        <f>Настройки!$O$10</f>
        <v>300</v>
      </c>
      <c r="H67" s="153">
        <f t="shared" ca="1" si="2"/>
        <v>0</v>
      </c>
      <c r="I67" s="139"/>
      <c r="J67" s="265" t="str">
        <f>Настройки!$K$10</f>
        <v>Не знание рекламных акций турагентства</v>
      </c>
      <c r="K67" s="265"/>
      <c r="L67" s="265"/>
      <c r="M67" s="35"/>
      <c r="N67" s="153">
        <f ca="1">OFFSET(INDIRECT("ПлохиеДелаМенеджер"&amp;A50),5,0)</f>
        <v>0</v>
      </c>
      <c r="O67" s="153">
        <f>Настройки!$L$10</f>
        <v>250</v>
      </c>
      <c r="P67" s="153">
        <f t="shared" ca="1" si="3"/>
        <v>0</v>
      </c>
    </row>
    <row r="68" spans="1:16" s="20" customFormat="1" ht="18" hidden="1" customHeight="1" outlineLevel="1" thickBot="1" x14ac:dyDescent="0.3">
      <c r="A68" s="188"/>
      <c r="B68" s="248" t="str">
        <f>Настройки!$N$11</f>
        <v>Подготовил выпуск рассылки</v>
      </c>
      <c r="C68" s="249"/>
      <c r="D68" s="250"/>
      <c r="E68" s="37"/>
      <c r="F68" s="153">
        <f ca="1">OFFSET(INDIRECT("ХорошиеДелаМенеджер"&amp;A50),6,0)</f>
        <v>0</v>
      </c>
      <c r="G68" s="153">
        <f>Настройки!$O$11</f>
        <v>500</v>
      </c>
      <c r="H68" s="153">
        <f t="shared" ca="1" si="2"/>
        <v>0</v>
      </c>
      <c r="I68" s="140"/>
      <c r="J68" s="265" t="str">
        <f>Настройки!$K$11</f>
        <v>В CRM указан не корректный источник рекламы</v>
      </c>
      <c r="K68" s="265"/>
      <c r="L68" s="265"/>
      <c r="M68" s="37"/>
      <c r="N68" s="153">
        <f ca="1">OFFSET(INDIRECT("ПлохиеДелаМенеджер"&amp;A50),6,0)</f>
        <v>0</v>
      </c>
      <c r="O68" s="153">
        <f>Настройки!$L$11</f>
        <v>250</v>
      </c>
      <c r="P68" s="153">
        <f t="shared" ca="1" si="3"/>
        <v>0</v>
      </c>
    </row>
    <row r="69" spans="1:16" s="20" customFormat="1" ht="9.9499999999999993" hidden="1" customHeight="1" outlineLevel="1" thickBot="1" x14ac:dyDescent="0.3">
      <c r="A69" s="188"/>
      <c r="N69"/>
      <c r="O69"/>
      <c r="P69"/>
    </row>
    <row r="70" spans="1:16" ht="18.75" hidden="1" outlineLevel="1" x14ac:dyDescent="0.25">
      <c r="A70" s="188"/>
      <c r="B70" s="269" t="s">
        <v>50</v>
      </c>
      <c r="C70" s="270"/>
      <c r="D70" s="270"/>
      <c r="E70" s="270"/>
      <c r="F70" s="270"/>
      <c r="G70" s="270"/>
      <c r="H70" s="270"/>
      <c r="I70" s="270"/>
      <c r="J70" s="270"/>
      <c r="K70" s="270"/>
      <c r="L70" s="271"/>
      <c r="N70" s="266" t="str">
        <f ca="1">"Моя зарплата на " &amp;   DAY(TODAY()) &amp; "." &amp;  MONTH(TODAY())</f>
        <v>Моя зарплата на 27.1</v>
      </c>
      <c r="O70" s="267"/>
      <c r="P70" s="268"/>
    </row>
    <row r="71" spans="1:16" ht="18" hidden="1" customHeight="1" outlineLevel="1" x14ac:dyDescent="0.25">
      <c r="A71" s="188"/>
      <c r="B71" s="251" t="s">
        <v>25</v>
      </c>
      <c r="C71" s="252"/>
      <c r="D71" s="253"/>
      <c r="E71" s="145"/>
      <c r="F71" s="146" t="s">
        <v>0</v>
      </c>
      <c r="G71" s="147" t="s">
        <v>1</v>
      </c>
      <c r="H71" s="138" t="s">
        <v>26</v>
      </c>
      <c r="I71" s="139"/>
      <c r="J71" s="138" t="s">
        <v>48</v>
      </c>
      <c r="K71" s="254" t="s">
        <v>12</v>
      </c>
      <c r="L71" s="255"/>
      <c r="N71" s="256" t="s">
        <v>49</v>
      </c>
      <c r="O71" s="257"/>
      <c r="P71" s="200">
        <f ca="1">INDIRECT("ЗарплатаТурыМенеджер"&amp;A50)</f>
        <v>0</v>
      </c>
    </row>
    <row r="72" spans="1:16" ht="18" hidden="1" customHeight="1" outlineLevel="1" x14ac:dyDescent="0.25">
      <c r="A72" s="188"/>
      <c r="B72" s="248">
        <f ca="1">OFFSET(INDIRECT("ИндивидуальныеЗаданияМенеджер"&amp;A50),0,0)</f>
        <v>0</v>
      </c>
      <c r="C72" s="249"/>
      <c r="D72" s="250"/>
      <c r="E72" s="35"/>
      <c r="F72" s="57">
        <f ca="1">OFFSET(INDIRECT("ИндивидуальныеЗаданияМенеджер"&amp;A50),0,9)</f>
        <v>0</v>
      </c>
      <c r="G72" s="173">
        <f ca="1">OFFSET(INDIRECT("ИндивидуальныеЗаданияМенеджер"&amp;A50),0,11)</f>
        <v>0</v>
      </c>
      <c r="H72" s="174">
        <f ca="1">OFFSET(INDIRECT("ИндивидуальныеЗаданияМенеджер"&amp;A50),0,12)</f>
        <v>0</v>
      </c>
      <c r="I72" s="139"/>
      <c r="J72" s="149">
        <f ca="1">OFFSET(INDIRECT("ИндивидуальныеЗаданияМенеджер"&amp;A50),1,9)</f>
        <v>0</v>
      </c>
      <c r="K72" s="237">
        <f ca="1">OFFSET(INDIRECT("ИндивидуальныеЗаданияМенеджер"&amp;A50),0,13)</f>
        <v>0</v>
      </c>
      <c r="L72" s="238"/>
      <c r="N72" s="256" t="s">
        <v>53</v>
      </c>
      <c r="O72" s="257"/>
      <c r="P72" s="200">
        <f ca="1">INDIRECT("ЗарплатаДопыМенеджер"&amp;A50)</f>
        <v>0</v>
      </c>
    </row>
    <row r="73" spans="1:16" ht="18" hidden="1" customHeight="1" outlineLevel="1" x14ac:dyDescent="0.25">
      <c r="A73" s="188"/>
      <c r="B73" s="248">
        <f ca="1">OFFSET(INDIRECT("ИндивидуальныеЗаданияМенеджер"&amp;A50),2,0)</f>
        <v>0</v>
      </c>
      <c r="C73" s="249"/>
      <c r="D73" s="250"/>
      <c r="E73" s="36"/>
      <c r="F73" s="57">
        <f ca="1">OFFSET(INDIRECT("ИндивидуальныеЗаданияМенеджер"&amp;A50),2,9)</f>
        <v>0</v>
      </c>
      <c r="G73" s="173">
        <f ca="1">OFFSET(INDIRECT("ИндивидуальныеЗаданияМенеджер"&amp;A50),2,11)</f>
        <v>0</v>
      </c>
      <c r="H73" s="174">
        <f ca="1">OFFSET(INDIRECT("ИндивидуальныеЗаданияМенеджер"&amp;A50),2,12)</f>
        <v>0</v>
      </c>
      <c r="I73" s="139"/>
      <c r="J73" s="149">
        <f ca="1">OFFSET(INDIRECT("ИндивидуальныеЗаданияМенеджер"&amp;A50),3,9)</f>
        <v>0</v>
      </c>
      <c r="K73" s="237">
        <f ca="1">OFFSET(INDIRECT("ИндивидуальныеЗаданияМенеджер"&amp;A50),2,13)</f>
        <v>0</v>
      </c>
      <c r="L73" s="238"/>
      <c r="N73" s="256" t="s">
        <v>54</v>
      </c>
      <c r="O73" s="257"/>
      <c r="P73" s="200">
        <f ca="1">SUM(INDIRECT("ЗарплатаИзМенеджер"&amp;A50))</f>
        <v>0</v>
      </c>
    </row>
    <row r="74" spans="1:16" ht="18" hidden="1" customHeight="1" outlineLevel="1" x14ac:dyDescent="0.25">
      <c r="A74" s="188"/>
      <c r="B74" s="248">
        <f ca="1">OFFSET(INDIRECT("ИндивидуальныеЗаданияМенеджер"&amp;A50),4,0)</f>
        <v>0</v>
      </c>
      <c r="C74" s="249"/>
      <c r="D74" s="250"/>
      <c r="E74" s="36"/>
      <c r="F74" s="150">
        <f ca="1">OFFSET(INDIRECT("ИндивидуальныеЗаданияМенеджер"&amp;A50),4,9)</f>
        <v>0</v>
      </c>
      <c r="G74" s="174">
        <f ca="1">OFFSET(INDIRECT("ИндивидуальныеЗаданияМенеджер"&amp;A50),4,11)</f>
        <v>0</v>
      </c>
      <c r="H74" s="174">
        <f ca="1">OFFSET(INDIRECT("ИндивидуальныеЗаданияМенеджер"&amp;A50),4,12)</f>
        <v>0</v>
      </c>
      <c r="I74" s="139"/>
      <c r="J74" s="149">
        <f ca="1">OFFSET(INDIRECT("ИндивидуальныеЗаданияМенеджер"&amp;A50),5,9)</f>
        <v>0</v>
      </c>
      <c r="K74" s="237">
        <f ca="1">OFFSET(INDIRECT("ИндивидуальныеЗаданияМенеджер"&amp;A50),4,13)</f>
        <v>0</v>
      </c>
      <c r="L74" s="238"/>
      <c r="N74" s="256" t="s">
        <v>51</v>
      </c>
      <c r="O74" s="257"/>
      <c r="P74" s="200">
        <f ca="1">INDIRECT("ЗарплатаКармаМенеджер"&amp;A50)</f>
        <v>0</v>
      </c>
    </row>
    <row r="75" spans="1:16" ht="18" hidden="1" customHeight="1" outlineLevel="1" thickBot="1" x14ac:dyDescent="0.3">
      <c r="A75" s="188"/>
      <c r="B75" s="248">
        <f ca="1">OFFSET(INDIRECT("ИндивидуальныеЗаданияМенеджер"&amp;A50),6,0)</f>
        <v>0</v>
      </c>
      <c r="C75" s="249"/>
      <c r="D75" s="250"/>
      <c r="E75" s="36"/>
      <c r="F75" s="150">
        <f ca="1">OFFSET(INDIRECT("ИндивидуальныеЗаданияМенеджер"&amp;A50),6,9)</f>
        <v>0</v>
      </c>
      <c r="G75" s="174">
        <f ca="1">OFFSET(INDIRECT("ИндивидуальныеЗаданияМенеджер"&amp;A50),6,11)</f>
        <v>0</v>
      </c>
      <c r="H75" s="174">
        <f ca="1">OFFSET(INDIRECT("ИндивидуальныеЗаданияМенеджер"&amp;A50),6,12)</f>
        <v>0</v>
      </c>
      <c r="I75" s="139"/>
      <c r="J75" s="149">
        <f ca="1">OFFSET(INDIRECT("ИндивидуальныеЗаданияМенеджер"&amp;A50),7,9)</f>
        <v>0</v>
      </c>
      <c r="K75" s="237">
        <f ca="1">OFFSET(INDIRECT("ИндивидуальныеЗаданияМенеджер"&amp;A50),6,13)</f>
        <v>0</v>
      </c>
      <c r="L75" s="238"/>
      <c r="N75" s="239" t="s">
        <v>52</v>
      </c>
      <c r="O75" s="240"/>
      <c r="P75" s="201">
        <f ca="1">INDIRECT("ЗарплатаОкладМенеджер"&amp;A50)</f>
        <v>16000</v>
      </c>
    </row>
    <row r="76" spans="1:16" ht="18" hidden="1" customHeight="1" outlineLevel="1" thickBot="1" x14ac:dyDescent="0.3">
      <c r="A76" s="188"/>
      <c r="B76" s="241">
        <f ca="1">OFFSET(INDIRECT("ИндивидуальныеЗаданияМенеджер"&amp;A50),8,0)</f>
        <v>0</v>
      </c>
      <c r="C76" s="242"/>
      <c r="D76" s="243"/>
      <c r="E76" s="37"/>
      <c r="F76" s="151">
        <f ca="1">OFFSET(INDIRECT("ИндивидуальныеЗаданияМенеджер"&amp;A50),8,9)</f>
        <v>0</v>
      </c>
      <c r="G76" s="175">
        <f ca="1">OFFSET(INDIRECT("ИндивидуальныеЗаданияМенеджер"&amp;A50),8,11)</f>
        <v>0</v>
      </c>
      <c r="H76" s="175">
        <f ca="1">OFFSET(INDIRECT("ИндивидуальныеЗаданияМенеджер"&amp;A50),8,12)</f>
        <v>0</v>
      </c>
      <c r="I76" s="140"/>
      <c r="J76" s="176">
        <f ca="1">OFFSET(INDIRECT("ИндивидуальныеЗаданияМенеджер"&amp;A50),9,9)</f>
        <v>0</v>
      </c>
      <c r="K76" s="244">
        <f ca="1">OFFSET(INDIRECT("ИндивидуальныеЗаданияМенеджер"&amp;A50),8,13)</f>
        <v>0</v>
      </c>
      <c r="L76" s="245"/>
      <c r="N76" s="246" t="s">
        <v>27</v>
      </c>
      <c r="O76" s="247"/>
      <c r="P76" s="202">
        <f ca="1">SUM(P71:P75)</f>
        <v>16000</v>
      </c>
    </row>
    <row r="77" spans="1:16" ht="9.9499999999999993" hidden="1" customHeight="1" outlineLevel="1" x14ac:dyDescent="0.25">
      <c r="A77" s="188"/>
      <c r="B77" s="132"/>
      <c r="C77" s="132"/>
      <c r="D77" s="133"/>
      <c r="E77" s="134"/>
      <c r="F77" s="135"/>
      <c r="G77" s="136"/>
      <c r="H77" s="137"/>
      <c r="I77" s="24"/>
      <c r="J77" s="129"/>
      <c r="K77" s="129"/>
      <c r="L77" s="203"/>
      <c r="N77" s="20"/>
      <c r="O77" s="20"/>
      <c r="P77" s="20"/>
    </row>
  </sheetData>
  <mergeCells count="89">
    <mergeCell ref="B35:D35"/>
    <mergeCell ref="J35:L35"/>
    <mergeCell ref="B32:D32"/>
    <mergeCell ref="J32:L32"/>
    <mergeCell ref="B33:D33"/>
    <mergeCell ref="J33:L33"/>
    <mergeCell ref="B34:D34"/>
    <mergeCell ref="J34:L34"/>
    <mergeCell ref="N4:P4"/>
    <mergeCell ref="B2:P2"/>
    <mergeCell ref="N23:P23"/>
    <mergeCell ref="B21:P21"/>
    <mergeCell ref="B31:P31"/>
    <mergeCell ref="J4:L4"/>
    <mergeCell ref="B23:D23"/>
    <mergeCell ref="F23:H23"/>
    <mergeCell ref="J23:L23"/>
    <mergeCell ref="B4:D4"/>
    <mergeCell ref="F4:H4"/>
    <mergeCell ref="B46:D46"/>
    <mergeCell ref="B47:D47"/>
    <mergeCell ref="K42:L42"/>
    <mergeCell ref="K43:L43"/>
    <mergeCell ref="K44:L44"/>
    <mergeCell ref="K45:L45"/>
    <mergeCell ref="K46:L46"/>
    <mergeCell ref="K47:L47"/>
    <mergeCell ref="B41:L41"/>
    <mergeCell ref="B42:D42"/>
    <mergeCell ref="B43:D43"/>
    <mergeCell ref="B44:D44"/>
    <mergeCell ref="B45:D45"/>
    <mergeCell ref="N43:O43"/>
    <mergeCell ref="N44:O44"/>
    <mergeCell ref="N45:O45"/>
    <mergeCell ref="N46:O46"/>
    <mergeCell ref="N47:O47"/>
    <mergeCell ref="B39:D39"/>
    <mergeCell ref="J39:L39"/>
    <mergeCell ref="B67:D67"/>
    <mergeCell ref="J67:L67"/>
    <mergeCell ref="B63:D63"/>
    <mergeCell ref="J63:L63"/>
    <mergeCell ref="B64:D64"/>
    <mergeCell ref="J64:L64"/>
    <mergeCell ref="B65:D65"/>
    <mergeCell ref="J65:L65"/>
    <mergeCell ref="B66:D66"/>
    <mergeCell ref="J66:L66"/>
    <mergeCell ref="B50:P50"/>
    <mergeCell ref="B52:D52"/>
    <mergeCell ref="N41:P41"/>
    <mergeCell ref="N42:O42"/>
    <mergeCell ref="B36:D36"/>
    <mergeCell ref="J36:L36"/>
    <mergeCell ref="B37:D37"/>
    <mergeCell ref="J37:L37"/>
    <mergeCell ref="B38:D38"/>
    <mergeCell ref="J38:L38"/>
    <mergeCell ref="B62:D62"/>
    <mergeCell ref="J62:L62"/>
    <mergeCell ref="N70:P70"/>
    <mergeCell ref="B68:D68"/>
    <mergeCell ref="J68:L68"/>
    <mergeCell ref="B70:L70"/>
    <mergeCell ref="F52:H52"/>
    <mergeCell ref="J52:L52"/>
    <mergeCell ref="N52:P52"/>
    <mergeCell ref="B60:P60"/>
    <mergeCell ref="B61:D61"/>
    <mergeCell ref="J61:L61"/>
    <mergeCell ref="B74:D74"/>
    <mergeCell ref="B71:D71"/>
    <mergeCell ref="K71:L71"/>
    <mergeCell ref="N71:O71"/>
    <mergeCell ref="B72:D72"/>
    <mergeCell ref="K72:L72"/>
    <mergeCell ref="N72:O72"/>
    <mergeCell ref="B73:D73"/>
    <mergeCell ref="K73:L73"/>
    <mergeCell ref="N73:O73"/>
    <mergeCell ref="K74:L74"/>
    <mergeCell ref="N74:O74"/>
    <mergeCell ref="K75:L75"/>
    <mergeCell ref="N75:O75"/>
    <mergeCell ref="B76:D76"/>
    <mergeCell ref="K76:L76"/>
    <mergeCell ref="N76:O76"/>
    <mergeCell ref="B75:D75"/>
  </mergeCells>
  <conditionalFormatting sqref="F6:H6">
    <cfRule type="expression" dxfId="153" priority="1057" stopIfTrue="1">
      <formula>$H6&lt;0.9</formula>
    </cfRule>
    <cfRule type="expression" dxfId="152" priority="1058" stopIfTrue="1">
      <formula>$H6&lt;=1.1</formula>
    </cfRule>
    <cfRule type="expression" dxfId="151" priority="1059">
      <formula>$H6&gt;1.1</formula>
    </cfRule>
  </conditionalFormatting>
  <conditionalFormatting sqref="B6:D6">
    <cfRule type="expression" dxfId="150" priority="1055" stopIfTrue="1">
      <formula>$D6&lt;=1</formula>
    </cfRule>
    <cfRule type="expression" dxfId="149" priority="1056">
      <formula>$D6&gt;1</formula>
    </cfRule>
  </conditionalFormatting>
  <conditionalFormatting sqref="J6:L6">
    <cfRule type="expression" dxfId="148" priority="1043" stopIfTrue="1">
      <formula>$L6&lt;=1</formula>
    </cfRule>
    <cfRule type="expression" dxfId="147" priority="1044">
      <formula>$L6&gt;1</formula>
    </cfRule>
  </conditionalFormatting>
  <conditionalFormatting sqref="F25 H25">
    <cfRule type="expression" dxfId="146" priority="1040" stopIfTrue="1">
      <formula>$H25&lt;0.9</formula>
    </cfRule>
    <cfRule type="expression" dxfId="145" priority="1041" stopIfTrue="1">
      <formula>$H25&lt;=1.1</formula>
    </cfRule>
    <cfRule type="expression" dxfId="144" priority="1042">
      <formula>$H25&gt;1.1</formula>
    </cfRule>
  </conditionalFormatting>
  <conditionalFormatting sqref="B25:D25">
    <cfRule type="expression" dxfId="143" priority="1038" stopIfTrue="1">
      <formula>$D25&lt;=1</formula>
    </cfRule>
    <cfRule type="expression" dxfId="142" priority="1039">
      <formula>$D25&gt;1</formula>
    </cfRule>
  </conditionalFormatting>
  <conditionalFormatting sqref="J25:L25">
    <cfRule type="expression" dxfId="141" priority="1036" stopIfTrue="1">
      <formula>$L25&lt;=1</formula>
    </cfRule>
    <cfRule type="expression" dxfId="140" priority="1037">
      <formula>$L25&gt;1</formula>
    </cfRule>
  </conditionalFormatting>
  <conditionalFormatting sqref="G25">
    <cfRule type="expression" dxfId="139" priority="622" stopIfTrue="1">
      <formula>$H25&lt;0.9</formula>
    </cfRule>
    <cfRule type="expression" dxfId="138" priority="623" stopIfTrue="1">
      <formula>$H25&lt;=1.1</formula>
    </cfRule>
    <cfRule type="expression" dxfId="137" priority="624">
      <formula>$H25&gt;1.1</formula>
    </cfRule>
  </conditionalFormatting>
  <conditionalFormatting sqref="N6:P6">
    <cfRule type="expression" dxfId="136" priority="619" stopIfTrue="1">
      <formula>$H6&lt;0.9</formula>
    </cfRule>
    <cfRule type="expression" dxfId="135" priority="620" stopIfTrue="1">
      <formula>$H6&lt;=1.1</formula>
    </cfRule>
    <cfRule type="expression" dxfId="134" priority="621">
      <formula>$H6&gt;1.1</formula>
    </cfRule>
  </conditionalFormatting>
  <conditionalFormatting sqref="F27">
    <cfRule type="expression" dxfId="133" priority="602">
      <formula>G25&lt;F25*0.9</formula>
    </cfRule>
    <cfRule type="expression" dxfId="132" priority="603">
      <formula>G25&gt;=F25*0.9</formula>
    </cfRule>
  </conditionalFormatting>
  <conditionalFormatting sqref="F28">
    <cfRule type="expression" dxfId="131" priority="600">
      <formula>G25&lt;F25*0.9</formula>
    </cfRule>
    <cfRule type="expression" dxfId="130" priority="601">
      <formula>G25&gt;=F25*0.9</formula>
    </cfRule>
  </conditionalFormatting>
  <conditionalFormatting sqref="F29">
    <cfRule type="expression" dxfId="129" priority="598">
      <formula>G25&lt;F25*0.9</formula>
    </cfRule>
    <cfRule type="expression" dxfId="128" priority="599">
      <formula>G25&gt;=F25*0.9</formula>
    </cfRule>
  </conditionalFormatting>
  <conditionalFormatting sqref="F33:F39 H33:H39">
    <cfRule type="colorScale" priority="582">
      <colorScale>
        <cfvo type="min"/>
        <cfvo type="max"/>
        <color rgb="FFFCFCFF"/>
        <color rgb="FF63BE7B"/>
      </colorScale>
    </cfRule>
  </conditionalFormatting>
  <conditionalFormatting sqref="F33:F39">
    <cfRule type="colorScale" priority="581">
      <colorScale>
        <cfvo type="min"/>
        <cfvo type="max"/>
        <color rgb="FFFCFCFF"/>
        <color rgb="FF63BE7B"/>
      </colorScale>
    </cfRule>
  </conditionalFormatting>
  <conditionalFormatting sqref="P33:P39 N33:N39">
    <cfRule type="colorScale" priority="580">
      <colorScale>
        <cfvo type="min"/>
        <cfvo type="max"/>
        <color rgb="FFFCFCFF"/>
        <color rgb="FF63BE7B"/>
      </colorScale>
    </cfRule>
  </conditionalFormatting>
  <conditionalFormatting sqref="N33:N39">
    <cfRule type="colorScale" priority="578">
      <colorScale>
        <cfvo type="min"/>
        <cfvo type="max"/>
        <color rgb="FFFCFCFF"/>
        <color rgb="FFF8696B"/>
      </colorScale>
    </cfRule>
  </conditionalFormatting>
  <conditionalFormatting sqref="P33:P39">
    <cfRule type="colorScale" priority="577">
      <colorScale>
        <cfvo type="min"/>
        <cfvo type="max"/>
        <color rgb="FFFCFCFF"/>
        <color rgb="FFF8696B"/>
      </colorScale>
    </cfRule>
  </conditionalFormatting>
  <conditionalFormatting sqref="N27">
    <cfRule type="expression" dxfId="127" priority="575">
      <formula>O25&lt;N25*0.9</formula>
    </cfRule>
    <cfRule type="expression" dxfId="126" priority="576">
      <formula>O25&gt;=N25*0.9</formula>
    </cfRule>
  </conditionalFormatting>
  <conditionalFormatting sqref="N28">
    <cfRule type="expression" dxfId="125" priority="573">
      <formula>O25&lt;N25*0.9</formula>
    </cfRule>
    <cfRule type="expression" dxfId="124" priority="574">
      <formula>O25&gt;=N25*0.9</formula>
    </cfRule>
  </conditionalFormatting>
  <conditionalFormatting sqref="N29">
    <cfRule type="expression" dxfId="123" priority="571">
      <formula>O25&lt;N25*0.9</formula>
    </cfRule>
    <cfRule type="expression" dxfId="122" priority="572">
      <formula>O25&gt;=N25*0.9</formula>
    </cfRule>
  </conditionalFormatting>
  <conditionalFormatting sqref="H54">
    <cfRule type="expression" dxfId="121" priority="568" stopIfTrue="1">
      <formula>$H54&lt;0.9</formula>
    </cfRule>
    <cfRule type="expression" dxfId="120" priority="569" stopIfTrue="1">
      <formula>$H54&lt;=1.1</formula>
    </cfRule>
    <cfRule type="expression" dxfId="119" priority="570">
      <formula>$H54&gt;1.1</formula>
    </cfRule>
  </conditionalFormatting>
  <conditionalFormatting sqref="B54:D54">
    <cfRule type="expression" dxfId="118" priority="566" stopIfTrue="1">
      <formula>$D54&lt;=1</formula>
    </cfRule>
    <cfRule type="expression" dxfId="117" priority="567">
      <formula>$D54&gt;1</formula>
    </cfRule>
  </conditionalFormatting>
  <conditionalFormatting sqref="J54:L54">
    <cfRule type="expression" dxfId="116" priority="564" stopIfTrue="1">
      <formula>$L54&lt;=1</formula>
    </cfRule>
    <cfRule type="expression" dxfId="115" priority="565">
      <formula>$L54&gt;1</formula>
    </cfRule>
  </conditionalFormatting>
  <conditionalFormatting sqref="G54">
    <cfRule type="expression" dxfId="114" priority="561" stopIfTrue="1">
      <formula>$H54&lt;0.9</formula>
    </cfRule>
    <cfRule type="expression" dxfId="113" priority="562" stopIfTrue="1">
      <formula>$H54&lt;=1.1</formula>
    </cfRule>
    <cfRule type="expression" dxfId="112" priority="563">
      <formula>$H54&gt;1.1</formula>
    </cfRule>
  </conditionalFormatting>
  <conditionalFormatting sqref="F56">
    <cfRule type="expression" dxfId="111" priority="559">
      <formula>G54&lt;F54*0.9</formula>
    </cfRule>
    <cfRule type="expression" dxfId="110" priority="560">
      <formula>G54&gt;=F54*0.9</formula>
    </cfRule>
  </conditionalFormatting>
  <conditionalFormatting sqref="F57">
    <cfRule type="expression" dxfId="109" priority="557">
      <formula>G54&lt;F54*0.9</formula>
    </cfRule>
    <cfRule type="expression" dxfId="108" priority="558">
      <formula>G54&gt;=F54*0.9</formula>
    </cfRule>
  </conditionalFormatting>
  <conditionalFormatting sqref="F58">
    <cfRule type="expression" dxfId="107" priority="555">
      <formula>G54&lt;F54*0.9</formula>
    </cfRule>
    <cfRule type="expression" dxfId="106" priority="556">
      <formula>G54&gt;=F54*0.9</formula>
    </cfRule>
  </conditionalFormatting>
  <conditionalFormatting sqref="F62:F68 H62:H68">
    <cfRule type="colorScale" priority="554">
      <colorScale>
        <cfvo type="min"/>
        <cfvo type="max"/>
        <color rgb="FFFCFCFF"/>
        <color rgb="FF63BE7B"/>
      </colorScale>
    </cfRule>
  </conditionalFormatting>
  <conditionalFormatting sqref="F62:F68">
    <cfRule type="colorScale" priority="553">
      <colorScale>
        <cfvo type="min"/>
        <cfvo type="max"/>
        <color rgb="FFFCFCFF"/>
        <color rgb="FF63BE7B"/>
      </colorScale>
    </cfRule>
  </conditionalFormatting>
  <conditionalFormatting sqref="P62:P68 N62:N68">
    <cfRule type="colorScale" priority="552">
      <colorScale>
        <cfvo type="min"/>
        <cfvo type="max"/>
        <color rgb="FFFCFCFF"/>
        <color rgb="FF63BE7B"/>
      </colorScale>
    </cfRule>
  </conditionalFormatting>
  <conditionalFormatting sqref="N62:N68">
    <cfRule type="colorScale" priority="551">
      <colorScale>
        <cfvo type="min"/>
        <cfvo type="max"/>
        <color rgb="FFFCFCFF"/>
        <color rgb="FFF8696B"/>
      </colorScale>
    </cfRule>
  </conditionalFormatting>
  <conditionalFormatting sqref="P62:P68">
    <cfRule type="colorScale" priority="550">
      <colorScale>
        <cfvo type="min"/>
        <cfvo type="max"/>
        <color rgb="FFFCFCFF"/>
        <color rgb="FFF8696B"/>
      </colorScale>
    </cfRule>
  </conditionalFormatting>
  <conditionalFormatting sqref="N56">
    <cfRule type="expression" dxfId="105" priority="548">
      <formula>O54&lt;N54*0.9</formula>
    </cfRule>
    <cfRule type="expression" dxfId="104" priority="549">
      <formula>O54&gt;=N54*0.9</formula>
    </cfRule>
  </conditionalFormatting>
  <conditionalFormatting sqref="N57">
    <cfRule type="expression" dxfId="103" priority="546">
      <formula>O54&lt;N54*0.9</formula>
    </cfRule>
    <cfRule type="expression" dxfId="102" priority="547">
      <formula>O54&gt;=N54*0.9</formula>
    </cfRule>
  </conditionalFormatting>
  <conditionalFormatting sqref="N58">
    <cfRule type="expression" dxfId="101" priority="544">
      <formula>O54&lt;N54*0.9</formula>
    </cfRule>
    <cfRule type="expression" dxfId="100" priority="545">
      <formula>O54&gt;=N54*0.9</formula>
    </cfRule>
  </conditionalFormatting>
  <conditionalFormatting sqref="F54">
    <cfRule type="expression" dxfId="99" priority="55" stopIfTrue="1">
      <formula>$H54&lt;0.9</formula>
    </cfRule>
    <cfRule type="expression" dxfId="98" priority="56" stopIfTrue="1">
      <formula>$H54&lt;=1.1</formula>
    </cfRule>
    <cfRule type="expression" dxfId="97" priority="57">
      <formula>$H54&gt;1.1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/>
  </sheetPr>
  <dimension ref="A1:U55"/>
  <sheetViews>
    <sheetView showGridLines="0" tabSelected="1" topLeftCell="D1" zoomScale="55" zoomScaleNormal="55" zoomScalePageLayoutView="90" workbookViewId="0">
      <selection activeCell="F63" sqref="F63"/>
    </sheetView>
  </sheetViews>
  <sheetFormatPr defaultColWidth="11" defaultRowHeight="15.75" outlineLevelRow="1" x14ac:dyDescent="0.25"/>
  <cols>
    <col min="1" max="1" width="1.875" style="20" customWidth="1"/>
    <col min="2" max="4" width="25" customWidth="1"/>
    <col min="5" max="5" width="1.875" style="20" customWidth="1"/>
    <col min="6" max="8" width="23" customWidth="1"/>
    <col min="9" max="9" width="1.875" style="20" customWidth="1"/>
    <col min="10" max="12" width="20" customWidth="1"/>
    <col min="13" max="13" width="1.875" style="20" customWidth="1"/>
    <col min="14" max="16" width="20" customWidth="1"/>
    <col min="17" max="17" width="1.875" customWidth="1"/>
    <col min="18" max="20" width="23" customWidth="1"/>
  </cols>
  <sheetData>
    <row r="1" spans="1:20" s="20" customFormat="1" ht="15" customHeight="1" x14ac:dyDescent="0.25">
      <c r="J1" s="72"/>
      <c r="K1" s="72"/>
      <c r="L1" s="72"/>
      <c r="N1" s="72"/>
      <c r="O1" s="72"/>
      <c r="P1" s="72"/>
    </row>
    <row r="2" spans="1:20" ht="21" x14ac:dyDescent="0.25">
      <c r="B2" s="278" t="str">
        <f>"Результаты агентства за " &amp; current_month</f>
        <v>Результаты агентства за Январь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</row>
    <row r="3" spans="1:20" s="20" customFormat="1" ht="15" customHeight="1" x14ac:dyDescent="0.25">
      <c r="F3" s="193"/>
    </row>
    <row r="4" spans="1:20" s="25" customFormat="1" ht="20.100000000000001" customHeight="1" x14ac:dyDescent="0.25">
      <c r="A4" s="26"/>
      <c r="B4" s="258" t="str">
        <f>"План по турам на " &amp; current_month</f>
        <v>План по турам на Январь</v>
      </c>
      <c r="C4" s="258"/>
      <c r="D4" s="258"/>
      <c r="E4" s="26"/>
      <c r="F4" s="258" t="str">
        <f ca="1">"План по турам нарастающим итогом на "&amp;  DAY(TODAY()) &amp; "." &amp;  MONTH(TODAY())</f>
        <v>План по турам нарастающим итогом на 27.1</v>
      </c>
      <c r="G4" s="258"/>
      <c r="H4" s="258"/>
      <c r="I4" s="26"/>
      <c r="J4" s="275" t="str">
        <f ca="1">"План по турам по заявкам на "&amp;  DAY(TODAY()) &amp; "." &amp;  MONTH(TODAY())</f>
        <v>План по турам по заявкам на 27.1</v>
      </c>
      <c r="K4" s="276"/>
      <c r="L4" s="277"/>
      <c r="M4" s="26"/>
      <c r="N4" s="275" t="str">
        <f>"План по допам на " &amp; current_month</f>
        <v>План по допам на Январь</v>
      </c>
      <c r="O4" s="276"/>
      <c r="P4" s="277"/>
      <c r="R4" s="258" t="str">
        <f ca="1">"План по допам нарастающим итогом на "&amp;  DAY(TODAY()) &amp; "." &amp;  MONTH(TODAY())</f>
        <v>План по допам нарастающим итогом на 27.1</v>
      </c>
      <c r="S4" s="258"/>
      <c r="T4" s="258"/>
    </row>
    <row r="5" spans="1:20" s="9" customFormat="1" ht="20.100000000000001" customHeight="1" x14ac:dyDescent="0.25">
      <c r="A5" s="8"/>
      <c r="B5" s="29" t="s">
        <v>0</v>
      </c>
      <c r="C5" s="29" t="s">
        <v>1</v>
      </c>
      <c r="D5" s="29" t="s">
        <v>47</v>
      </c>
      <c r="E5" s="8"/>
      <c r="F5" s="30" t="s">
        <v>0</v>
      </c>
      <c r="G5" s="30" t="s">
        <v>1</v>
      </c>
      <c r="H5" s="29" t="s">
        <v>47</v>
      </c>
      <c r="I5" s="8"/>
      <c r="J5" s="30" t="s">
        <v>0</v>
      </c>
      <c r="K5" s="30" t="s">
        <v>1</v>
      </c>
      <c r="L5" s="29" t="s">
        <v>47</v>
      </c>
      <c r="M5" s="8"/>
      <c r="N5" s="29" t="s">
        <v>0</v>
      </c>
      <c r="O5" s="29" t="s">
        <v>1</v>
      </c>
      <c r="P5" s="29" t="s">
        <v>47</v>
      </c>
      <c r="R5" s="30" t="s">
        <v>0</v>
      </c>
      <c r="S5" s="30" t="s">
        <v>1</v>
      </c>
      <c r="T5" s="29" t="s">
        <v>47</v>
      </c>
    </row>
    <row r="6" spans="1:20" s="23" customFormat="1" ht="50.1" customHeight="1" x14ac:dyDescent="0.25">
      <c r="A6" s="20"/>
      <c r="B6" s="195">
        <f>ПланТуры</f>
        <v>96338</v>
      </c>
      <c r="C6" s="195">
        <f>SUMIF(Фактеризация!$C$1:$C$783,"Прибыль по турам",Фактеризация!$AI$1:$AI$783)</f>
        <v>41292</v>
      </c>
      <c r="D6" s="34">
        <f>IFERROR(C6/B6,0)</f>
        <v>0.42861591479997507</v>
      </c>
      <c r="E6" s="27"/>
      <c r="F6" s="204">
        <f ca="1">IFERROR(B6*НарастающийИтогДоля,0)</f>
        <v>83907.290322580651</v>
      </c>
      <c r="G6" s="195">
        <f>C6</f>
        <v>41292</v>
      </c>
      <c r="H6" s="34">
        <f ca="1">IFERROR(G6/F6,0)</f>
        <v>0.49211456884441579</v>
      </c>
      <c r="I6" s="27"/>
      <c r="J6" s="195">
        <f>SUM(L9:L15)</f>
        <v>0</v>
      </c>
      <c r="K6" s="195">
        <f>G6</f>
        <v>41292</v>
      </c>
      <c r="L6" s="34">
        <f>IFERROR(K6/J6,0)</f>
        <v>0</v>
      </c>
      <c r="M6" s="20"/>
      <c r="N6" s="195">
        <f>ПланДопы</f>
        <v>0</v>
      </c>
      <c r="O6" s="195">
        <f>SUMIF(Фактеризация!$C$1:$C$783,"Прибыль по допам",Фактеризация!$AI$1:$AI$783)</f>
        <v>0</v>
      </c>
      <c r="P6" s="34">
        <f>IFERROR(O6/N6,0)</f>
        <v>0</v>
      </c>
      <c r="R6" s="205">
        <f ca="1">IFERROR(N6*НарастающийИтогДоля,0)</f>
        <v>0</v>
      </c>
      <c r="S6" s="205">
        <f>O6</f>
        <v>0</v>
      </c>
      <c r="T6" s="154">
        <f ca="1">IFERROR(S6/R6,0)</f>
        <v>0</v>
      </c>
    </row>
    <row r="7" spans="1:20" s="20" customFormat="1" ht="15" customHeight="1" x14ac:dyDescent="0.25"/>
    <row r="8" spans="1:20" ht="20.100000000000001" customHeight="1" x14ac:dyDescent="0.25">
      <c r="J8" s="31" t="s">
        <v>3</v>
      </c>
      <c r="K8" s="31" t="s">
        <v>89</v>
      </c>
      <c r="L8" s="31" t="s">
        <v>5</v>
      </c>
    </row>
    <row r="9" spans="1:20" ht="20.100000000000001" customHeight="1" x14ac:dyDescent="0.25">
      <c r="B9" s="194"/>
      <c r="J9" s="67" t="str">
        <f>Настройки!B5</f>
        <v>Соцсети</v>
      </c>
      <c r="K9" s="69">
        <f>SUMIF(Фактеризация!$C$1:$C$784,J9,Фактеризация!$AI$1:$AI$784)</f>
        <v>0</v>
      </c>
      <c r="L9" s="66">
        <f>K9*СреднийЧек*Настройки!$C$5</f>
        <v>0</v>
      </c>
    </row>
    <row r="10" spans="1:20" ht="20.100000000000001" customHeight="1" x14ac:dyDescent="0.25">
      <c r="J10" s="67" t="str">
        <f>Настройки!B6</f>
        <v>Сайт (директ)</v>
      </c>
      <c r="K10" s="69">
        <f>SUMIF(Фактеризация!$C$1:$C$784,J10,Фактеризация!$AI$1:$AI$784)</f>
        <v>0</v>
      </c>
      <c r="L10" s="66">
        <f>K10*СреднийЧек*Настройки!$C$6</f>
        <v>0</v>
      </c>
    </row>
    <row r="11" spans="1:20" ht="20.100000000000001" customHeight="1" x14ac:dyDescent="0.25">
      <c r="J11" s="67" t="str">
        <f>Настройки!B7</f>
        <v>Сайт (SEO)</v>
      </c>
      <c r="K11" s="69">
        <f>SUMIF(Фактеризация!$C$1:$C$784,J11,Фактеризация!$AI$1:$AI$784)</f>
        <v>0</v>
      </c>
      <c r="L11" s="66">
        <f>K11*СреднийЧек*Настройки!$C$7</f>
        <v>0</v>
      </c>
    </row>
    <row r="12" spans="1:20" ht="20.100000000000001" customHeight="1" x14ac:dyDescent="0.25">
      <c r="J12" s="67" t="str">
        <f>Настройки!B8</f>
        <v>Instagram</v>
      </c>
      <c r="K12" s="69">
        <f>SUMIF(Фактеризация!$C$1:$C$784,J12,Фактеризация!$AI$1:$AI$784)</f>
        <v>0</v>
      </c>
      <c r="L12" s="66">
        <f>K12*СреднийЧек*Настройки!$C$8</f>
        <v>0</v>
      </c>
    </row>
    <row r="13" spans="1:20" ht="20.100000000000001" customHeight="1" x14ac:dyDescent="0.25">
      <c r="J13" s="67" t="str">
        <f>Настройки!B9</f>
        <v>Зашли с улицы</v>
      </c>
      <c r="K13" s="69">
        <f>SUMIF(Фактеризация!$C$1:$C$784,J13,Фактеризация!$AI$1:$AI$784)</f>
        <v>0</v>
      </c>
      <c r="L13" s="66">
        <f>K13*СреднийЧек*Настройки!$C$9</f>
        <v>0</v>
      </c>
    </row>
    <row r="14" spans="1:20" ht="20.100000000000001" customHeight="1" x14ac:dyDescent="0.25">
      <c r="J14" s="67" t="str">
        <f>Настройки!B10</f>
        <v>По рекомендации</v>
      </c>
      <c r="K14" s="69">
        <f>SUMIF(Фактеризация!$C$1:$C$784,J14,Фактеризация!$AI$1:$AI$784)</f>
        <v>0</v>
      </c>
      <c r="L14" s="66">
        <f>K14*СреднийЧек*Настройки!$C$10</f>
        <v>0</v>
      </c>
    </row>
    <row r="15" spans="1:20" ht="20.100000000000001" customHeight="1" x14ac:dyDescent="0.25">
      <c r="J15" s="67" t="str">
        <f>Настройки!B11</f>
        <v>Постоянные клиенты</v>
      </c>
      <c r="K15" s="69">
        <f>SUMIF(Фактеризация!$C$1:$C$784,J15,Фактеризация!$AI$1:$AI$784)</f>
        <v>0</v>
      </c>
      <c r="L15" s="66">
        <f>K15*СреднийЧек*Настройки!$C$11</f>
        <v>0</v>
      </c>
    </row>
    <row r="16" spans="1:20" s="20" customFormat="1" ht="15" customHeight="1" x14ac:dyDescent="0.25"/>
    <row r="17" spans="1:21" s="20" customFormat="1" ht="20.100000000000001" customHeight="1" x14ac:dyDescent="0.3">
      <c r="B17" s="166" t="str">
        <f>"Командный план по турам на " &amp;current_month</f>
        <v>Командный план по турам на Январь</v>
      </c>
      <c r="C17" s="166"/>
      <c r="D17" s="206">
        <f>ПланТуры</f>
        <v>96338</v>
      </c>
      <c r="E17" s="166"/>
      <c r="F17" s="166" t="str">
        <f ca="1">"На " &amp; DAY(TODAY()) &amp;" " &amp; CurrentMonthRod &amp;" план нарастающим итогом"</f>
        <v>На 27 Января план нарастающим итогом</v>
      </c>
      <c r="G17" s="166"/>
      <c r="H17" s="206">
        <f ca="1">F6</f>
        <v>83907.290322580651</v>
      </c>
      <c r="I17" s="166"/>
      <c r="J17" s="166" t="str">
        <f ca="1">"На " &amp; DAY(TODAY()) &amp;" " &amp; CurrentMonthRod &amp;" мы получили заявок на"</f>
        <v>На 27 Января мы получили заявок на</v>
      </c>
      <c r="K17" s="166"/>
      <c r="L17" s="206">
        <f>J6</f>
        <v>0</v>
      </c>
      <c r="M17" s="166"/>
      <c r="N17" s="166" t="s">
        <v>128</v>
      </c>
      <c r="O17" s="166"/>
      <c r="P17" s="206">
        <f>N6</f>
        <v>0</v>
      </c>
      <c r="Q17" s="166"/>
      <c r="R17" s="166" t="str">
        <f ca="1">"На " &amp; DAY(TODAY()) &amp;" " &amp; CurrentMonthRod &amp;" план нарастающим итогом"</f>
        <v>На 27 Января план нарастающим итогом</v>
      </c>
      <c r="S17" s="166"/>
      <c r="T17" s="206">
        <f ca="1">R6</f>
        <v>0</v>
      </c>
      <c r="U17" s="166"/>
    </row>
    <row r="18" spans="1:21" s="20" customFormat="1" ht="20.100000000000001" customHeight="1" x14ac:dyDescent="0.35">
      <c r="B18" s="166" t="s">
        <v>114</v>
      </c>
      <c r="C18" s="166"/>
      <c r="D18" s="207">
        <f>C6</f>
        <v>41292</v>
      </c>
      <c r="E18" s="166"/>
      <c r="F18" s="167" t="s">
        <v>115</v>
      </c>
      <c r="G18" s="167"/>
      <c r="H18" s="169">
        <f ca="1">H6</f>
        <v>0.49211456884441579</v>
      </c>
      <c r="I18" s="167"/>
      <c r="J18" s="281" t="str">
        <f>IF(L6&lt;1,"Менеджеры недостаточно эффективны","Менеджеры работают хорошо")</f>
        <v>Менеджеры недостаточно эффективны</v>
      </c>
      <c r="K18" s="281"/>
      <c r="L18" s="281"/>
      <c r="M18" s="281"/>
      <c r="N18" s="166" t="s">
        <v>129</v>
      </c>
      <c r="O18" s="166"/>
      <c r="P18" s="206">
        <f>O6</f>
        <v>0</v>
      </c>
      <c r="Q18" s="166"/>
      <c r="R18" s="167" t="s">
        <v>115</v>
      </c>
      <c r="S18" s="167"/>
      <c r="T18" s="169">
        <f ca="1">T6</f>
        <v>0</v>
      </c>
      <c r="U18" s="170"/>
    </row>
    <row r="19" spans="1:21" s="20" customFormat="1" ht="20.100000000000001" customHeight="1" x14ac:dyDescent="0.35">
      <c r="F19" s="167" t="str">
        <f ca="1">IF(G6&lt;F6,"Мы отстаем от плана на","Мы перевыполняем план на")</f>
        <v>Мы отстаем от плана на</v>
      </c>
      <c r="G19" s="167"/>
      <c r="H19" s="208">
        <f ca="1">ROUND(IF(G6&gt;=F6,G6-F6,F6-G6),0)</f>
        <v>42615</v>
      </c>
      <c r="I19" s="167"/>
      <c r="J19" s="280" t="str">
        <f ca="1">IF(J6&lt;F6,"Заявок не хватает для выполнения плана","Заявок в избытке для выполнения плана")</f>
        <v>Заявок не хватает для выполнения плана</v>
      </c>
      <c r="K19" s="280"/>
      <c r="L19" s="280"/>
      <c r="M19" s="128"/>
      <c r="R19" s="167" t="str">
        <f ca="1">IF(S6&lt;R6,"Мы отстаем от плана на","Мы перевыполняем план на")</f>
        <v>Мы перевыполняем план на</v>
      </c>
      <c r="S19" s="167"/>
      <c r="T19" s="208">
        <f ca="1">ROUND(IF(S6&gt;=R6,S6-R6,R6-S6),0)</f>
        <v>0</v>
      </c>
      <c r="U19" s="170"/>
    </row>
    <row r="20" spans="1:21" s="20" customFormat="1" ht="15" customHeight="1" x14ac:dyDescent="0.25"/>
    <row r="21" spans="1:21" s="20" customFormat="1" ht="20.100000000000001" customHeight="1" x14ac:dyDescent="0.3">
      <c r="A21" s="188">
        <v>1</v>
      </c>
      <c r="B21" s="274" t="str">
        <f ca="1">INDIRECT("Менеджер_"&amp;A21)</f>
        <v>Менеджер Васильева М.А.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</row>
    <row r="22" spans="1:21" s="20" customFormat="1" ht="15" customHeight="1" x14ac:dyDescent="0.3">
      <c r="A22" s="188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21" ht="20.100000000000001" customHeight="1" x14ac:dyDescent="0.25">
      <c r="A23" s="188"/>
      <c r="B23" s="258" t="str">
        <f>"План по турам на " &amp; current_month</f>
        <v>План по турам на Январь</v>
      </c>
      <c r="C23" s="258"/>
      <c r="D23" s="258"/>
      <c r="E23" s="26"/>
      <c r="F23" s="258" t="str">
        <f ca="1">"План нарастающим итогом на "&amp;  DAY(TODAY()) &amp; "." &amp;  MONTH(TODAY())</f>
        <v>План нарастающим итогом на 27.1</v>
      </c>
      <c r="G23" s="258"/>
      <c r="H23" s="258"/>
      <c r="I23" s="26"/>
      <c r="J23" s="275" t="str">
        <f ca="1">"План по заявкам на "&amp;  DAY(TODAY()) &amp; "." &amp;  MONTH(TODAY())</f>
        <v>План по заявкам на 27.1</v>
      </c>
      <c r="K23" s="276"/>
      <c r="L23" s="277"/>
      <c r="M23" s="26"/>
      <c r="N23" s="275" t="str">
        <f>"План по допам на " &amp; current_month</f>
        <v>План по допам на Январь</v>
      </c>
      <c r="O23" s="276"/>
      <c r="P23" s="277"/>
      <c r="R23" s="258" t="str">
        <f ca="1">"План по допам нарастающим итогом на "&amp;  DAY(TODAY()) &amp; "." &amp;  MONTH(TODAY())</f>
        <v>План по допам нарастающим итогом на 27.1</v>
      </c>
      <c r="S23" s="258"/>
      <c r="T23" s="258"/>
    </row>
    <row r="24" spans="1:21" ht="20.100000000000001" customHeight="1" x14ac:dyDescent="0.25">
      <c r="A24" s="188"/>
      <c r="B24" s="29" t="s">
        <v>0</v>
      </c>
      <c r="C24" s="29" t="s">
        <v>1</v>
      </c>
      <c r="D24" s="29" t="s">
        <v>47</v>
      </c>
      <c r="E24" s="8"/>
      <c r="F24" s="30" t="s">
        <v>0</v>
      </c>
      <c r="G24" s="30" t="s">
        <v>1</v>
      </c>
      <c r="H24" s="30" t="s">
        <v>2</v>
      </c>
      <c r="I24" s="8"/>
      <c r="J24" s="30" t="s">
        <v>0</v>
      </c>
      <c r="K24" s="30" t="s">
        <v>1</v>
      </c>
      <c r="L24" s="30" t="s">
        <v>2</v>
      </c>
      <c r="M24" s="8"/>
      <c r="N24" s="29" t="s">
        <v>0</v>
      </c>
      <c r="O24" s="29" t="s">
        <v>1</v>
      </c>
      <c r="P24" s="29" t="s">
        <v>2</v>
      </c>
      <c r="R24" s="30" t="s">
        <v>0</v>
      </c>
      <c r="S24" s="30" t="s">
        <v>1</v>
      </c>
      <c r="T24" s="29" t="s">
        <v>47</v>
      </c>
    </row>
    <row r="25" spans="1:21" ht="50.1" customHeight="1" collapsed="1" x14ac:dyDescent="0.25">
      <c r="A25" s="188"/>
      <c r="B25" s="195">
        <f ca="1">INDIRECT("ЦельТурыМенеджер"&amp;A21)</f>
        <v>38535.200000000004</v>
      </c>
      <c r="C25" s="195">
        <f ca="1">INDIRECT("ФактТурыМенеджер"&amp;A21)</f>
        <v>24163</v>
      </c>
      <c r="D25" s="28">
        <f ca="1">IFERROR(C25/B25,0)</f>
        <v>0.62703709854885914</v>
      </c>
      <c r="E25" s="27"/>
      <c r="F25" s="195">
        <f ca="1">IFERROR(B25*НарастающийИтогДоля,0)</f>
        <v>33562.916129032259</v>
      </c>
      <c r="G25" s="195">
        <f ca="1">C25</f>
        <v>24163</v>
      </c>
      <c r="H25" s="28">
        <f ca="1">IFERROR(G25/F25,0)</f>
        <v>0.71993148351906056</v>
      </c>
      <c r="I25" s="27"/>
      <c r="J25" s="195">
        <f ca="1">SUM(L28:L34)</f>
        <v>0</v>
      </c>
      <c r="K25" s="195">
        <f ca="1">G25</f>
        <v>24163</v>
      </c>
      <c r="L25" s="28">
        <f ca="1">IFERROR(K25/J25,0)</f>
        <v>0</v>
      </c>
      <c r="N25" s="195">
        <f ca="1">INDIRECT("ЦельДопыМенеджер"&amp;A21)</f>
        <v>0</v>
      </c>
      <c r="O25" s="195">
        <f ca="1">INDIRECT("ФактДопыМенеджер"&amp;A21)</f>
        <v>0</v>
      </c>
      <c r="P25" s="28">
        <f ca="1">IFERROR(O25/N25,0)</f>
        <v>0</v>
      </c>
      <c r="R25" s="195">
        <f ca="1">IFERROR(N25*НарастающийИтогДоля,0)</f>
        <v>0</v>
      </c>
      <c r="S25" s="195">
        <f ca="1">O25</f>
        <v>0</v>
      </c>
      <c r="T25" s="34">
        <f ca="1">IFERROR(S25/R25,0)</f>
        <v>0</v>
      </c>
    </row>
    <row r="26" spans="1:21" ht="20.100000000000001" hidden="1" customHeight="1" outlineLevel="1" x14ac:dyDescent="0.25">
      <c r="A26" s="188"/>
      <c r="R26" s="172"/>
      <c r="S26" s="20"/>
      <c r="T26" s="20"/>
    </row>
    <row r="27" spans="1:21" ht="20.100000000000001" hidden="1" customHeight="1" outlineLevel="1" x14ac:dyDescent="0.35">
      <c r="A27" s="188"/>
      <c r="B27" s="33" t="s">
        <v>56</v>
      </c>
      <c r="C27" s="33"/>
      <c r="D27" s="197">
        <f ca="1">IF(C25&gt;=INDIRECT("ЗарплатаТурыМега"&amp;A21),"---",IF(FALSE,0,INDEX(INDIRECT("ЗарплатаТурыВсе"&amp;A21),IFERROR(MATCH(C25,INDIRECT("ЗарплатаТурыВсе"&amp;A21),1),0)+1)-C25))</f>
        <v>6665.1600000000035</v>
      </c>
      <c r="F27" s="56" t="str">
        <f ca="1">IF(G25&gt;=F25*1.1,"Пока идем с перевыполнением,",IF(G25&gt;=F25*0.9,"Пока мы в плане,","Пока мы отстаем от плана,"))</f>
        <v>Пока мы отстаем от плана,</v>
      </c>
      <c r="G27" s="20"/>
      <c r="H27" s="20"/>
      <c r="J27" s="31" t="s">
        <v>3</v>
      </c>
      <c r="K27" s="31" t="s">
        <v>89</v>
      </c>
      <c r="L27" s="31" t="s">
        <v>5</v>
      </c>
      <c r="N27" s="33" t="s">
        <v>55</v>
      </c>
      <c r="O27" s="33"/>
      <c r="P27" s="197" t="str">
        <f ca="1">IF(O25&gt;=INDIRECT("ЗарплатаДопыМега"&amp;A21),"---",IF(FALSE,0,INDEX(INDIRECT("ЗарплатаДопыВсе"&amp;A21),IFERROR(MATCH(O25,INDIRECT("ЗарплатаДопыВсе"&amp;A21),1),0)+1)-O25))</f>
        <v>---</v>
      </c>
      <c r="R27" s="56" t="str">
        <f ca="1">IF(S25&gt;=R25*1.1,"Пока идем с перевыполнением,",IF(S25&gt;=R25*0.9,"Пока мы в плане,","Пока мы отстаем от плана,"))</f>
        <v>Пока идем с перевыполнением,</v>
      </c>
      <c r="S27" s="20"/>
      <c r="T27" s="20"/>
    </row>
    <row r="28" spans="1:21" ht="20.100000000000001" hidden="1" customHeight="1" outlineLevel="1" x14ac:dyDescent="0.35">
      <c r="A28" s="188"/>
      <c r="B28" s="33" t="s">
        <v>7</v>
      </c>
      <c r="C28" s="33"/>
      <c r="D28" s="130" t="str">
        <f ca="1">IF(C25&gt;=INDIRECT("ЗарплатаТурыМега"&amp;A21),"---",IF(FALSE,0,CHOOSE(IFERROR(MATCH(C25,INDIRECT("ЗарплатаТурыВсе"&amp;A21),1),0)+1,"I","II","III","Цель","Цель+","Цель++","МегаЦель")))</f>
        <v>III</v>
      </c>
      <c r="F28" s="56" t="str">
        <f ca="1">IF(G25&gt;=F25*1.1,"отличный результат!",IF(G25&gt;=F25*0.9,"хороший результат.","надо нагонять."))</f>
        <v>надо нагонять.</v>
      </c>
      <c r="H28" s="20"/>
      <c r="J28" s="67" t="str">
        <f>Настройки!$B$5</f>
        <v>Соцсети</v>
      </c>
      <c r="K28" s="69">
        <f ca="1">INDIRECT("ЗаявкиФактКанал1Менеджер"&amp;A21)</f>
        <v>0</v>
      </c>
      <c r="L28" s="66">
        <f ca="1">K28*СреднийЧек*Настройки!$C$5</f>
        <v>0</v>
      </c>
      <c r="N28" s="33" t="s">
        <v>7</v>
      </c>
      <c r="O28" s="33"/>
      <c r="P28" s="130" t="str">
        <f ca="1">IF(O25&gt;=INDIRECT("ЗарплатаДопыМега"&amp;A21),"---",IF(FALSE,0,CHOOSE(IFERROR(MATCH(O25,INDIRECT("ЗарплатаДопыВсе"&amp;A21),1),0)+1,"I","II","III","Цель","Цель+","Цель++","МегаЦель")))</f>
        <v>---</v>
      </c>
      <c r="R28" s="56" t="str">
        <f ca="1">IF(S25&gt;=R25*1.1,"отличный результат!",IF(S25&gt;=R25*0.9,"хороший результат.","надо нагонять."))</f>
        <v>отличный результат!</v>
      </c>
      <c r="T28" s="20"/>
    </row>
    <row r="29" spans="1:21" ht="20.100000000000001" hidden="1" customHeight="1" outlineLevel="1" x14ac:dyDescent="0.35">
      <c r="A29" s="188"/>
      <c r="B29" s="33" t="s">
        <v>8</v>
      </c>
      <c r="C29" s="33"/>
      <c r="D29" s="209">
        <f ca="1">IF(C25&gt;=INDIRECT("ЗарплатаТурыМега"&amp;A21),"---",IF(FALSE,0,INDEX(INDIRECT("БонусыТурыВсе"&amp;A21),IFERROR(MATCH(C25,INDIRECT("ЗарплатаТурыВсе"&amp;A21),1),0)+1)))</f>
        <v>4315.9424000000008</v>
      </c>
      <c r="F29" s="56" t="str">
        <f ca="1">IF(G25&gt;=F25*1.1,"Продолжай в том же духе.",IF(G25&gt;=F25*0.9,"Но расслабляться рано!","Позвони клиентам!"))</f>
        <v>Позвони клиентам!</v>
      </c>
      <c r="G29" s="20"/>
      <c r="H29" s="20"/>
      <c r="J29" s="67" t="str">
        <f>Настройки!$B$6</f>
        <v>Сайт (директ)</v>
      </c>
      <c r="K29" s="69">
        <f ca="1">INDIRECT("ЗаявкиФактКанал2Менеджер"&amp;A21)</f>
        <v>0</v>
      </c>
      <c r="L29" s="66">
        <f ca="1">K29*СреднийЧек*Настройки!$C$6</f>
        <v>0</v>
      </c>
      <c r="N29" s="33" t="s">
        <v>8</v>
      </c>
      <c r="O29" s="33"/>
      <c r="P29" s="209" t="str">
        <f ca="1">IF(O25&gt;=INDIRECT("ЗарплатаДопыМега"&amp;A21),"---",IF(FALSE,0,INDEX(INDIRECT("БонусыДопыВсе"&amp;A21),IFERROR(MATCH(O25,INDIRECT("ЗарплатаДопыВсе"&amp;A21),1),0)+1)))</f>
        <v>---</v>
      </c>
      <c r="R29" s="56" t="str">
        <f ca="1">IF(S25&gt;=R25*1.1,"Продолжай в том же духе.",IF(S25&gt;=R25*0.9,"Но расслабляться рано!","Позвони клиентам!"))</f>
        <v>Продолжай в том же духе.</v>
      </c>
      <c r="S29" s="20"/>
      <c r="T29" s="20"/>
    </row>
    <row r="30" spans="1:21" ht="20.100000000000001" hidden="1" customHeight="1" outlineLevel="1" x14ac:dyDescent="0.25">
      <c r="A30" s="188"/>
      <c r="B30" s="5"/>
      <c r="C30" s="5"/>
      <c r="D30" s="5"/>
      <c r="F30" s="20"/>
      <c r="G30" s="20"/>
      <c r="H30" s="20"/>
      <c r="J30" s="67" t="str">
        <f>Настройки!$B$7</f>
        <v>Сайт (SEO)</v>
      </c>
      <c r="K30" s="69">
        <f ca="1">INDIRECT("ЗаявкиФактКанал3Менеджер"&amp;A21)</f>
        <v>0</v>
      </c>
      <c r="L30" s="66">
        <f ca="1">K30*СреднийЧек*Настройки!$C$7</f>
        <v>0</v>
      </c>
      <c r="N30" s="5"/>
      <c r="O30" s="5"/>
      <c r="P30" s="5"/>
      <c r="R30" s="20"/>
      <c r="S30" s="20"/>
      <c r="T30" s="20"/>
    </row>
    <row r="31" spans="1:21" ht="20.100000000000001" hidden="1" customHeight="1" outlineLevel="1" x14ac:dyDescent="0.25">
      <c r="A31" s="188"/>
      <c r="B31" s="40"/>
      <c r="C31" s="40"/>
      <c r="D31" s="40"/>
      <c r="F31" s="40"/>
      <c r="G31" s="40"/>
      <c r="H31" s="40"/>
      <c r="I31" s="23"/>
      <c r="J31" s="67" t="str">
        <f>Настройки!$B$8</f>
        <v>Instagram</v>
      </c>
      <c r="K31" s="69">
        <f ca="1">INDIRECT("ЗаявкиФактКанал4Менеджер"&amp;A21)</f>
        <v>0</v>
      </c>
      <c r="L31" s="66">
        <f ca="1">K31*СреднийЧек*Настройки!$C$8</f>
        <v>0</v>
      </c>
      <c r="M31" s="23"/>
      <c r="N31" s="40"/>
      <c r="O31" s="40"/>
      <c r="P31" s="40"/>
      <c r="R31" s="40"/>
      <c r="S31" s="40"/>
      <c r="T31" s="40"/>
    </row>
    <row r="32" spans="1:21" ht="20.100000000000001" hidden="1" customHeight="1" outlineLevel="1" x14ac:dyDescent="0.3">
      <c r="A32" s="188"/>
      <c r="B32" s="171" t="str">
        <f>"Персональный план по турам на " &amp;current_month</f>
        <v>Персональный план по турам на Январь</v>
      </c>
      <c r="C32" s="166"/>
      <c r="D32" s="210">
        <f ca="1">B25</f>
        <v>38535.200000000004</v>
      </c>
      <c r="F32" s="166" t="str">
        <f ca="1">"На " &amp; DAY(TODAY()) &amp;" " &amp; CurrentMonthRod &amp;" план нарастающим итогом"</f>
        <v>На 27 Января план нарастающим итогом</v>
      </c>
      <c r="G32" s="166"/>
      <c r="H32" s="206">
        <f ca="1">F25</f>
        <v>33562.916129032259</v>
      </c>
      <c r="I32" s="23"/>
      <c r="J32" s="67" t="str">
        <f>Настройки!$B$9</f>
        <v>Зашли с улицы</v>
      </c>
      <c r="K32" s="69">
        <f ca="1">INDIRECT("ЗаявкиФактКанал5Менеджер"&amp;A21)</f>
        <v>0</v>
      </c>
      <c r="L32" s="66">
        <f ca="1">K32*СреднийЧек*Настройки!$C$9</f>
        <v>0</v>
      </c>
      <c r="M32" s="23"/>
      <c r="N32" s="171" t="str">
        <f>"Персональный план по допам на " &amp;current_month</f>
        <v>Персональный план по допам на Январь</v>
      </c>
      <c r="O32" s="166"/>
      <c r="P32" s="206">
        <f ca="1">N25</f>
        <v>0</v>
      </c>
      <c r="R32" s="166" t="str">
        <f ca="1">"На " &amp; DAY(TODAY()) &amp;" " &amp; CurrentMonthRod &amp;" план нарастающим итогом"</f>
        <v>На 27 Января план нарастающим итогом</v>
      </c>
      <c r="S32" s="166"/>
      <c r="T32" s="206">
        <f ca="1">R25</f>
        <v>0</v>
      </c>
    </row>
    <row r="33" spans="1:20" ht="20.100000000000001" hidden="1" customHeight="1" outlineLevel="1" x14ac:dyDescent="0.3">
      <c r="A33" s="188"/>
      <c r="B33" s="171" t="s">
        <v>130</v>
      </c>
      <c r="C33" s="166"/>
      <c r="D33" s="210">
        <f ca="1">C25</f>
        <v>24163</v>
      </c>
      <c r="F33" s="167" t="s">
        <v>115</v>
      </c>
      <c r="G33" s="167"/>
      <c r="H33" s="169">
        <f ca="1">H25</f>
        <v>0.71993148351906056</v>
      </c>
      <c r="I33" s="23"/>
      <c r="J33" s="67" t="str">
        <f>Настройки!$B$10</f>
        <v>По рекомендации</v>
      </c>
      <c r="K33" s="69">
        <f ca="1">INDIRECT("ЗаявкиФактКанал6Менеджер"&amp;A21)</f>
        <v>0</v>
      </c>
      <c r="L33" s="66">
        <f ca="1">K33*СреднийЧек*Настройки!$C$10</f>
        <v>0</v>
      </c>
      <c r="M33" s="23"/>
      <c r="N33" s="171" t="s">
        <v>132</v>
      </c>
      <c r="O33" s="166"/>
      <c r="P33" s="207">
        <f ca="1">O25</f>
        <v>0</v>
      </c>
      <c r="R33" s="167" t="s">
        <v>115</v>
      </c>
      <c r="S33" s="167"/>
      <c r="T33" s="169">
        <f ca="1">T25</f>
        <v>0</v>
      </c>
    </row>
    <row r="34" spans="1:20" ht="20.100000000000001" hidden="1" customHeight="1" outlineLevel="1" x14ac:dyDescent="0.3">
      <c r="A34" s="188"/>
      <c r="F34" s="167" t="str">
        <f ca="1">IF(G25&lt;F25,"Мы отстаем от плана на","Мы перевыполняем план на")</f>
        <v>Мы отстаем от плана на</v>
      </c>
      <c r="G34" s="167"/>
      <c r="H34" s="208">
        <f ca="1">ROUND(IF(G25&gt;=F25,G25-F25,F25-G25),0)</f>
        <v>9400</v>
      </c>
      <c r="I34" s="23"/>
      <c r="J34" s="67" t="str">
        <f>Настройки!$B$11</f>
        <v>Постоянные клиенты</v>
      </c>
      <c r="K34" s="69">
        <f ca="1">INDIRECT("ЗаявкиФактКанал7Менеджер"&amp;A21)</f>
        <v>0</v>
      </c>
      <c r="L34" s="66">
        <f ca="1">K34*СреднийЧек*Настройки!$C$11</f>
        <v>0</v>
      </c>
      <c r="M34" s="23"/>
      <c r="R34" s="167" t="str">
        <f ca="1">IF(S25&lt;R25,"Мы отстаем от плана на","Мы перевыполняем план на")</f>
        <v>Мы перевыполняем план на</v>
      </c>
      <c r="S34" s="167"/>
      <c r="T34" s="208">
        <f ca="1">ROUND(IF(S25&gt;=R25,S25-R25,R25-S25),0)</f>
        <v>0</v>
      </c>
    </row>
    <row r="35" spans="1:20" ht="15" hidden="1" customHeight="1" outlineLevel="1" x14ac:dyDescent="0.25">
      <c r="A35" s="188"/>
      <c r="B35" s="5"/>
      <c r="C35" s="5"/>
      <c r="D35" s="5"/>
      <c r="F35" s="20"/>
      <c r="G35" s="20"/>
      <c r="H35" s="20"/>
      <c r="I35" s="23"/>
      <c r="J35" s="20"/>
      <c r="K35" s="20"/>
      <c r="L35" s="20"/>
      <c r="M35" s="23"/>
      <c r="N35" s="20"/>
      <c r="O35" s="20"/>
      <c r="P35" s="20"/>
      <c r="R35" s="20"/>
      <c r="S35" s="20"/>
      <c r="T35" s="20"/>
    </row>
    <row r="36" spans="1:20" ht="15" hidden="1" customHeight="1" outlineLevel="1" x14ac:dyDescent="0.35">
      <c r="A36" s="188"/>
      <c r="B36" s="40"/>
      <c r="C36" s="40"/>
      <c r="D36" s="40"/>
      <c r="F36" s="40"/>
      <c r="G36" s="40"/>
      <c r="H36" s="40"/>
      <c r="I36" s="152"/>
      <c r="J36" s="40"/>
      <c r="K36" s="40"/>
      <c r="L36" s="40"/>
      <c r="M36" s="152"/>
      <c r="N36" s="40"/>
      <c r="O36" s="40"/>
      <c r="P36" s="40"/>
      <c r="Q36" s="152"/>
      <c r="R36" s="40"/>
      <c r="S36" s="40"/>
      <c r="T36" s="40"/>
    </row>
    <row r="37" spans="1:20" ht="20.100000000000001" customHeight="1" x14ac:dyDescent="0.35">
      <c r="A37" s="188"/>
      <c r="B37" s="179" t="str">
        <f ca="1">"На " &amp; DAY(TODAY()) &amp;" " &amp; CurrentMonthRod &amp;" мен-р получил заявок на"</f>
        <v>На 27 Января мен-р получил заявок на</v>
      </c>
      <c r="C37" s="179"/>
      <c r="D37" s="211">
        <f ca="1">J25</f>
        <v>0</v>
      </c>
      <c r="E37" s="180"/>
      <c r="F37" s="182" t="s">
        <v>131</v>
      </c>
      <c r="G37" s="183"/>
      <c r="H37" s="184">
        <f ca="1">L25</f>
        <v>0</v>
      </c>
      <c r="I37" s="181"/>
      <c r="J37" s="185" t="str">
        <f ca="1">IF(K25&gt;=J25*1.1,"Конверсия по заявкам высокая,",IF(K25&gt;=J25*0.9,"Конверсия по заявкам нормальная,","Конверсия по заявкам низкая,"))</f>
        <v>Конверсия по заявкам высокая,</v>
      </c>
      <c r="K37" s="186"/>
      <c r="L37" s="186"/>
      <c r="M37" s="183"/>
      <c r="N37" s="185" t="str">
        <f ca="1">IF(J25&gt;=F25*1.1,"заявок в избытке для выполнения плана.",IF(J25&gt;=F25*0.9,"заявок достаточно для выполнения плана.","заявок не хватает для выполнения плана."))</f>
        <v>заявок не хватает для выполнения плана.</v>
      </c>
      <c r="O37" s="186"/>
      <c r="P37" s="186"/>
      <c r="Q37" s="183"/>
      <c r="R37" s="187" t="str">
        <f ca="1">IF(AND(J37="Конверсия по заявкам низкая,",N37="заявок не хватает для выполнения плана."),"Проведи работу с менеджером и дай еще заявок.",
IF(AND(J37="Конверсия по заявкам низкая,",N37="заявок достаточно для выполнения плана."),"Проведи работу с менеджером.",
IF(AND(J37="Конверсия по заявкам низкая,",N37="заявок в избытке для выполнения плана."),"Проведи работу с менеджером.",
IF(AND(J37="Конверсия по заявкам нормальная,",N37="заявок не хватает для выполнения плана."),"Похвали менеджера и дай еще заявок.",
IF(AND(J37="Конверсия по заявкам нормальная,",N37="заявок достаточно для выполнения плана."),"Похвали менеджера.",
IF(AND(J37="Конверсия по заявкам нормальная,",N37="заявок в избытке для выполнения плана."),"Похвали менеджера.",
IF(AND(J37="Конверсия по заявкам высокая,",N37="заявок не хватает для выполнения плана."),"Похвали менеджера и дай еще заявок.",
IF(AND(J37="Конверсия по заявкам высокая,",N37="заявок достаточно для выполнения плана."),"Похвали менеджера.",
IF(AND(J37="Конверсия по заявкам высокая,",N37="заявок в избытке для выполнения плана."),"Похвали менеджера.")
))))))))</f>
        <v>Похвали менеджера и дай еще заявок.</v>
      </c>
      <c r="S37" s="186"/>
      <c r="T37" s="186"/>
    </row>
    <row r="38" spans="1:20" s="20" customFormat="1" ht="15" customHeight="1" x14ac:dyDescent="0.25">
      <c r="A38" s="188"/>
    </row>
    <row r="39" spans="1:20" s="20" customFormat="1" ht="20.100000000000001" customHeight="1" x14ac:dyDescent="0.3">
      <c r="A39" s="188">
        <f>A21+1</f>
        <v>2</v>
      </c>
      <c r="B39" s="274" t="str">
        <f ca="1">INDIRECT("Менеджер_"&amp;A39)</f>
        <v>Менеджер Антоненко Н.Л.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</row>
    <row r="40" spans="1:20" s="20" customFormat="1" ht="15" customHeight="1" x14ac:dyDescent="0.3">
      <c r="A40" s="188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20" ht="20.100000000000001" customHeight="1" x14ac:dyDescent="0.25">
      <c r="A41" s="188"/>
      <c r="B41" s="258" t="str">
        <f>"План по турам на " &amp; current_month</f>
        <v>План по турам на Январь</v>
      </c>
      <c r="C41" s="258"/>
      <c r="D41" s="258"/>
      <c r="E41" s="26"/>
      <c r="F41" s="258" t="str">
        <f ca="1">"План нарастающим итогом на "&amp;  DAY(TODAY()) &amp; "." &amp;  MONTH(TODAY())</f>
        <v>План нарастающим итогом на 27.1</v>
      </c>
      <c r="G41" s="258"/>
      <c r="H41" s="258"/>
      <c r="I41" s="26"/>
      <c r="J41" s="275" t="str">
        <f ca="1">"План по заявкам на "&amp;  DAY(TODAY()) &amp; "." &amp;  MONTH(TODAY())</f>
        <v>План по заявкам на 27.1</v>
      </c>
      <c r="K41" s="276"/>
      <c r="L41" s="277"/>
      <c r="M41" s="26"/>
      <c r="N41" s="275" t="str">
        <f>"План по допам на " &amp; current_month</f>
        <v>План по допам на Январь</v>
      </c>
      <c r="O41" s="276"/>
      <c r="P41" s="277"/>
      <c r="R41" s="258" t="str">
        <f ca="1">"План по допам нарастающим итогом на "&amp;  DAY(TODAY()) &amp; "." &amp;  MONTH(TODAY())</f>
        <v>План по допам нарастающим итогом на 27.1</v>
      </c>
      <c r="S41" s="258"/>
      <c r="T41" s="258"/>
    </row>
    <row r="42" spans="1:20" ht="20.100000000000001" customHeight="1" x14ac:dyDescent="0.25">
      <c r="A42" s="188"/>
      <c r="B42" s="29" t="s">
        <v>0</v>
      </c>
      <c r="C42" s="29" t="s">
        <v>1</v>
      </c>
      <c r="D42" s="29" t="s">
        <v>47</v>
      </c>
      <c r="E42" s="8"/>
      <c r="F42" s="30" t="s">
        <v>0</v>
      </c>
      <c r="G42" s="30" t="s">
        <v>1</v>
      </c>
      <c r="H42" s="30" t="s">
        <v>2</v>
      </c>
      <c r="I42" s="8"/>
      <c r="J42" s="30" t="s">
        <v>0</v>
      </c>
      <c r="K42" s="30" t="s">
        <v>1</v>
      </c>
      <c r="L42" s="30" t="s">
        <v>2</v>
      </c>
      <c r="M42" s="8"/>
      <c r="N42" s="29" t="s">
        <v>0</v>
      </c>
      <c r="O42" s="29" t="s">
        <v>1</v>
      </c>
      <c r="P42" s="29" t="s">
        <v>2</v>
      </c>
      <c r="R42" s="30" t="s">
        <v>0</v>
      </c>
      <c r="S42" s="30" t="s">
        <v>1</v>
      </c>
      <c r="T42" s="29" t="s">
        <v>47</v>
      </c>
    </row>
    <row r="43" spans="1:20" ht="50.1" customHeight="1" collapsed="1" x14ac:dyDescent="0.25">
      <c r="A43" s="188"/>
      <c r="B43" s="195">
        <f ca="1">INDIRECT("ЦельТурыМенеджер"&amp;A39)</f>
        <v>57802.799999999996</v>
      </c>
      <c r="C43" s="195">
        <f ca="1">INDIRECT("ФактТурыМенеджер"&amp;A39)</f>
        <v>17129</v>
      </c>
      <c r="D43" s="28">
        <f ca="1">IFERROR(C43/B43,0)</f>
        <v>0.29633512563405234</v>
      </c>
      <c r="E43" s="27"/>
      <c r="F43" s="195">
        <f ca="1">IFERROR(B43*НарастающийИтогДоля,0)</f>
        <v>50344.374193548385</v>
      </c>
      <c r="G43" s="195">
        <f ca="1">C43</f>
        <v>17129</v>
      </c>
      <c r="H43" s="28">
        <f ca="1">IFERROR(G43/F43,0)</f>
        <v>0.34023662572798602</v>
      </c>
      <c r="I43" s="27"/>
      <c r="J43" s="195">
        <f ca="1">SUM(L46:L52)</f>
        <v>0</v>
      </c>
      <c r="K43" s="195">
        <f ca="1">G43</f>
        <v>17129</v>
      </c>
      <c r="L43" s="28">
        <f ca="1">IFERROR(K43/J43,0)</f>
        <v>0</v>
      </c>
      <c r="N43" s="195">
        <f ca="1">INDIRECT("ЦельДопыМенеджер"&amp;A39)</f>
        <v>0</v>
      </c>
      <c r="O43" s="195">
        <f ca="1">INDIRECT("ФактДопыМенеджер"&amp;A39)</f>
        <v>0</v>
      </c>
      <c r="P43" s="28">
        <f ca="1">IFERROR(O43/N43,0)</f>
        <v>0</v>
      </c>
      <c r="R43" s="195">
        <f ca="1">IFERROR(N43*НарастающийИтогДоля,0)</f>
        <v>0</v>
      </c>
      <c r="S43" s="195">
        <f ca="1">O43</f>
        <v>0</v>
      </c>
      <c r="T43" s="34">
        <f ca="1">IFERROR(S43/R43,0)</f>
        <v>0</v>
      </c>
    </row>
    <row r="44" spans="1:20" ht="20.100000000000001" hidden="1" customHeight="1" outlineLevel="1" x14ac:dyDescent="0.25">
      <c r="A44" s="188"/>
      <c r="R44" s="172"/>
      <c r="S44" s="20"/>
      <c r="T44" s="20"/>
    </row>
    <row r="45" spans="1:20" ht="20.100000000000001" hidden="1" customHeight="1" outlineLevel="1" x14ac:dyDescent="0.35">
      <c r="A45" s="188"/>
      <c r="B45" s="33" t="s">
        <v>56</v>
      </c>
      <c r="C45" s="33"/>
      <c r="D45" s="197">
        <f ca="1">IF(C43&gt;=INDIRECT("ЗарплатаТурыМега"&amp;A39),"---",IF(FALSE,0,INDEX(INDIRECT("ЗарплатаТурыВсе"&amp;A39),IFERROR(MATCH(C43,INDIRECT("ЗарплатаТурыВсе"&amp;A39),1),0)+1)-C43))</f>
        <v>5992.119999999999</v>
      </c>
      <c r="F45" s="56" t="str">
        <f ca="1">IF(G43&gt;=F43*1.1,"Пока идем с перевыполнением,",IF(G43&gt;=F43*0.9,"Пока мы в плане,","Пока мы отстаем от плана,"))</f>
        <v>Пока мы отстаем от плана,</v>
      </c>
      <c r="G45" s="20"/>
      <c r="H45" s="20"/>
      <c r="J45" s="31" t="s">
        <v>3</v>
      </c>
      <c r="K45" s="31" t="s">
        <v>89</v>
      </c>
      <c r="L45" s="31" t="s">
        <v>5</v>
      </c>
      <c r="N45" s="33" t="s">
        <v>55</v>
      </c>
      <c r="O45" s="33"/>
      <c r="P45" s="197" t="str">
        <f ca="1">IF(O43&gt;=INDIRECT("ЗарплатаДопыМега"&amp;A39),"---",IF(FALSE,0,INDEX(INDIRECT("ЗарплатаДопыВсе"&amp;A39),IFERROR(MATCH(O43,INDIRECT("ЗарплатаДопыВсе"&amp;A39),1),0)+1)-O43))</f>
        <v>---</v>
      </c>
      <c r="R45" s="56" t="str">
        <f ca="1">IF(S43&gt;=R43*1.1,"Пока идем с перевыполнением,",IF(S43&gt;=R43*0.9,"Пока мы в плане,","Пока мы отстаем от плана,"))</f>
        <v>Пока идем с перевыполнением,</v>
      </c>
      <c r="S45" s="20"/>
      <c r="T45" s="20"/>
    </row>
    <row r="46" spans="1:20" ht="20.100000000000001" hidden="1" customHeight="1" outlineLevel="1" x14ac:dyDescent="0.35">
      <c r="A46" s="188"/>
      <c r="B46" s="33" t="s">
        <v>7</v>
      </c>
      <c r="C46" s="33"/>
      <c r="D46" s="130" t="str">
        <f ca="1">IF(C43&gt;=INDIRECT("ЗарплатаТурыМега"&amp;A39),"---",IF(FALSE,0,CHOOSE(IFERROR(MATCH(C43,INDIRECT("ЗарплатаТурыВсе"&amp;A39),1),0)+1,"I","II","III","Цель","Цель+","Цель++","МегаЦель")))</f>
        <v>I</v>
      </c>
      <c r="F46" s="56" t="str">
        <f ca="1">IF(G43&gt;=F43*1.1,"отличный результат!",IF(G43&gt;=F43*0.9,"хороший результат.","надо нагонять."))</f>
        <v>надо нагонять.</v>
      </c>
      <c r="H46" s="20"/>
      <c r="J46" s="67" t="str">
        <f>Настройки!$B$5</f>
        <v>Соцсети</v>
      </c>
      <c r="K46" s="69">
        <f ca="1">INDIRECT("ЗаявкиФактКанал1Менеджер"&amp;A39)</f>
        <v>0</v>
      </c>
      <c r="L46" s="66">
        <f ca="1">K46*СреднийЧек*Настройки!$C$5</f>
        <v>0</v>
      </c>
      <c r="N46" s="33" t="s">
        <v>7</v>
      </c>
      <c r="O46" s="33"/>
      <c r="P46" s="130" t="str">
        <f ca="1">IF(O43&gt;=INDIRECT("ЗарплатаДопыМега"&amp;A39),"---",IF(FALSE,0,CHOOSE(IFERROR(MATCH(O43,INDIRECT("ЗарплатаДопыВсе"&amp;A39),1),0)+1,"I","II","III","Цель","Цель+","Цель++","МегаЦель")))</f>
        <v>---</v>
      </c>
      <c r="R46" s="56" t="str">
        <f ca="1">IF(S43&gt;=R43*1.1,"отличный результат!",IF(S43&gt;=R43*0.9,"хороший результат.","надо нагонять."))</f>
        <v>отличный результат!</v>
      </c>
      <c r="T46" s="20"/>
    </row>
    <row r="47" spans="1:20" ht="20.100000000000001" hidden="1" customHeight="1" outlineLevel="1" x14ac:dyDescent="0.35">
      <c r="A47" s="188"/>
      <c r="B47" s="33" t="s">
        <v>8</v>
      </c>
      <c r="C47" s="33"/>
      <c r="D47" s="209">
        <f ca="1">IF(C43&gt;=INDIRECT("ЗарплатаТурыМега"&amp;A39),"---",IF(FALSE,0,INDEX(INDIRECT("БонусыТурыВсе"&amp;A39),IFERROR(MATCH(C43,INDIRECT("ЗарплатаТурыВсе"&amp;A39),1),0)+1)))</f>
        <v>2312.1120000000001</v>
      </c>
      <c r="F47" s="56" t="str">
        <f ca="1">IF(G43&gt;=F43*1.1,"Продолжай в том же духе.",IF(G43&gt;=F43*0.9,"Но расслабляться рано!","Позвони клиентам!"))</f>
        <v>Позвони клиентам!</v>
      </c>
      <c r="G47" s="20"/>
      <c r="H47" s="20"/>
      <c r="J47" s="67" t="str">
        <f>Настройки!$B$6</f>
        <v>Сайт (директ)</v>
      </c>
      <c r="K47" s="69">
        <f ca="1">INDIRECT("ЗаявкиФактКанал2Менеджер"&amp;A39)</f>
        <v>0</v>
      </c>
      <c r="L47" s="66">
        <f ca="1">K47*СреднийЧек*Настройки!$C$6</f>
        <v>0</v>
      </c>
      <c r="N47" s="33" t="s">
        <v>8</v>
      </c>
      <c r="O47" s="33"/>
      <c r="P47" s="209" t="str">
        <f ca="1">IF(O43&gt;=INDIRECT("ЗарплатаДопыМега"&amp;A39),"---",IF(FALSE,0,INDEX(INDIRECT("БонусыДопыВсе"&amp;A39),IFERROR(MATCH(O43,INDIRECT("ЗарплатаДопыВсе"&amp;A39),1),0)+1)))</f>
        <v>---</v>
      </c>
      <c r="R47" s="56" t="str">
        <f ca="1">IF(S43&gt;=R43*1.1,"Продолжай в том же духе.",IF(S43&gt;=R43*0.9,"Но расслабляться рано!","Позвони клиентам!"))</f>
        <v>Продолжай в том же духе.</v>
      </c>
      <c r="S47" s="20"/>
      <c r="T47" s="20"/>
    </row>
    <row r="48" spans="1:20" ht="20.100000000000001" hidden="1" customHeight="1" outlineLevel="1" x14ac:dyDescent="0.25">
      <c r="A48" s="188"/>
      <c r="B48" s="5"/>
      <c r="C48" s="5"/>
      <c r="D48" s="5"/>
      <c r="F48" s="20"/>
      <c r="G48" s="20"/>
      <c r="H48" s="20"/>
      <c r="J48" s="67" t="str">
        <f>Настройки!$B$7</f>
        <v>Сайт (SEO)</v>
      </c>
      <c r="K48" s="69">
        <f ca="1">INDIRECT("ЗаявкиФактКанал3Менеджер"&amp;A39)</f>
        <v>0</v>
      </c>
      <c r="L48" s="66">
        <f ca="1">K48*СреднийЧек*Настройки!$C$7</f>
        <v>0</v>
      </c>
      <c r="N48" s="5"/>
      <c r="O48" s="5"/>
      <c r="P48" s="5"/>
      <c r="R48" s="20"/>
      <c r="S48" s="20"/>
      <c r="T48" s="20"/>
    </row>
    <row r="49" spans="1:20" ht="20.100000000000001" hidden="1" customHeight="1" outlineLevel="1" x14ac:dyDescent="0.25">
      <c r="A49" s="188"/>
      <c r="B49" s="40"/>
      <c r="C49" s="40"/>
      <c r="D49" s="40"/>
      <c r="F49" s="40"/>
      <c r="G49" s="40"/>
      <c r="H49" s="40"/>
      <c r="I49" s="23"/>
      <c r="J49" s="67" t="str">
        <f>Настройки!$B$8</f>
        <v>Instagram</v>
      </c>
      <c r="K49" s="69">
        <f ca="1">INDIRECT("ЗаявкиФактКанал4Менеджер"&amp;A39)</f>
        <v>0</v>
      </c>
      <c r="L49" s="66">
        <f ca="1">K49*СреднийЧек*Настройки!$C$8</f>
        <v>0</v>
      </c>
      <c r="M49" s="23"/>
      <c r="N49" s="40"/>
      <c r="O49" s="40"/>
      <c r="P49" s="40"/>
      <c r="R49" s="40"/>
      <c r="S49" s="40"/>
      <c r="T49" s="40"/>
    </row>
    <row r="50" spans="1:20" ht="20.100000000000001" hidden="1" customHeight="1" outlineLevel="1" x14ac:dyDescent="0.3">
      <c r="A50" s="188"/>
      <c r="B50" s="171" t="str">
        <f>"Персональный план по турам на " &amp;current_month</f>
        <v>Персональный план по турам на Январь</v>
      </c>
      <c r="C50" s="166"/>
      <c r="D50" s="210">
        <f ca="1">B43</f>
        <v>57802.799999999996</v>
      </c>
      <c r="F50" s="166" t="str">
        <f ca="1">"На " &amp; DAY(TODAY()) &amp;" " &amp; CurrentMonthRod &amp;" план нарастающим итогом"</f>
        <v>На 27 Января план нарастающим итогом</v>
      </c>
      <c r="G50" s="166"/>
      <c r="H50" s="206">
        <f ca="1">F43</f>
        <v>50344.374193548385</v>
      </c>
      <c r="I50" s="23"/>
      <c r="J50" s="67" t="str">
        <f>Настройки!$B$9</f>
        <v>Зашли с улицы</v>
      </c>
      <c r="K50" s="69">
        <f ca="1">INDIRECT("ЗаявкиФактКанал5Менеджер"&amp;A39)</f>
        <v>0</v>
      </c>
      <c r="L50" s="66">
        <f ca="1">K50*СреднийЧек*Настройки!$C$9</f>
        <v>0</v>
      </c>
      <c r="M50" s="23"/>
      <c r="N50" s="171" t="str">
        <f>"Персональный план по допам на " &amp;current_month</f>
        <v>Персональный план по допам на Январь</v>
      </c>
      <c r="O50" s="166"/>
      <c r="P50" s="206">
        <f ca="1">N43</f>
        <v>0</v>
      </c>
      <c r="R50" s="166" t="str">
        <f ca="1">"На " &amp; DAY(TODAY()) &amp;" " &amp; CurrentMonthRod &amp;" план нарастающим итогом"</f>
        <v>На 27 Января план нарастающим итогом</v>
      </c>
      <c r="S50" s="166"/>
      <c r="T50" s="206">
        <f ca="1">R43</f>
        <v>0</v>
      </c>
    </row>
    <row r="51" spans="1:20" ht="20.100000000000001" hidden="1" customHeight="1" outlineLevel="1" x14ac:dyDescent="0.3">
      <c r="A51" s="188"/>
      <c r="B51" s="171" t="s">
        <v>130</v>
      </c>
      <c r="C51" s="166"/>
      <c r="D51" s="210">
        <f ca="1">C43</f>
        <v>17129</v>
      </c>
      <c r="F51" s="167" t="s">
        <v>115</v>
      </c>
      <c r="G51" s="167"/>
      <c r="H51" s="169">
        <f ca="1">H43</f>
        <v>0.34023662572798602</v>
      </c>
      <c r="I51" s="23"/>
      <c r="J51" s="67" t="str">
        <f>Настройки!$B$10</f>
        <v>По рекомендации</v>
      </c>
      <c r="K51" s="69">
        <f ca="1">INDIRECT("ЗаявкиФактКанал6Менеджер"&amp;A39)</f>
        <v>0</v>
      </c>
      <c r="L51" s="66">
        <f ca="1">K51*СреднийЧек*Настройки!$C$10</f>
        <v>0</v>
      </c>
      <c r="M51" s="23"/>
      <c r="N51" s="171" t="s">
        <v>132</v>
      </c>
      <c r="O51" s="166"/>
      <c r="P51" s="207">
        <f ca="1">O43</f>
        <v>0</v>
      </c>
      <c r="R51" s="167" t="s">
        <v>115</v>
      </c>
      <c r="S51" s="167"/>
      <c r="T51" s="169">
        <f ca="1">T43</f>
        <v>0</v>
      </c>
    </row>
    <row r="52" spans="1:20" ht="20.100000000000001" hidden="1" customHeight="1" outlineLevel="1" x14ac:dyDescent="0.3">
      <c r="A52" s="188"/>
      <c r="F52" s="167" t="str">
        <f ca="1">IF(G43&lt;F43,"Мы отстаем от плана на","Мы перевыполняем план на")</f>
        <v>Мы отстаем от плана на</v>
      </c>
      <c r="G52" s="167"/>
      <c r="H52" s="208">
        <f ca="1">ROUND(IF(G43&gt;=F43,G43-F43,F43-G43),0)</f>
        <v>33215</v>
      </c>
      <c r="I52" s="23"/>
      <c r="J52" s="67" t="str">
        <f>Настройки!$B$11</f>
        <v>Постоянные клиенты</v>
      </c>
      <c r="K52" s="69">
        <f ca="1">INDIRECT("ЗаявкиФактКанал7Менеджер"&amp;A39)</f>
        <v>0</v>
      </c>
      <c r="L52" s="66">
        <f ca="1">K52*СреднийЧек*Настройки!$C$11</f>
        <v>0</v>
      </c>
      <c r="M52" s="23"/>
      <c r="R52" s="167" t="str">
        <f ca="1">IF(S43&lt;R43,"Мы отстаем от плана на","Мы перевыполняем план на")</f>
        <v>Мы перевыполняем план на</v>
      </c>
      <c r="S52" s="167"/>
      <c r="T52" s="208">
        <f ca="1">ROUND(IF(S43&gt;=R43,S43-R43,R43-S43),0)</f>
        <v>0</v>
      </c>
    </row>
    <row r="53" spans="1:20" ht="15" hidden="1" customHeight="1" outlineLevel="1" x14ac:dyDescent="0.25">
      <c r="A53" s="188"/>
      <c r="B53" s="5"/>
      <c r="C53" s="5"/>
      <c r="D53" s="5"/>
      <c r="F53" s="20"/>
      <c r="G53" s="20"/>
      <c r="H53" s="20"/>
      <c r="I53" s="23"/>
      <c r="J53" s="20"/>
      <c r="K53" s="20"/>
      <c r="L53" s="20"/>
      <c r="M53" s="23"/>
      <c r="N53" s="20"/>
      <c r="O53" s="20"/>
      <c r="P53" s="20"/>
      <c r="R53" s="20"/>
      <c r="S53" s="20"/>
      <c r="T53" s="20"/>
    </row>
    <row r="54" spans="1:20" ht="15" hidden="1" customHeight="1" outlineLevel="1" x14ac:dyDescent="0.35">
      <c r="A54" s="188"/>
      <c r="B54" s="40"/>
      <c r="C54" s="40"/>
      <c r="D54" s="40"/>
      <c r="F54" s="40"/>
      <c r="G54" s="40"/>
      <c r="H54" s="40"/>
      <c r="I54" s="152"/>
      <c r="J54" s="40"/>
      <c r="K54" s="40"/>
      <c r="L54" s="40"/>
      <c r="M54" s="152"/>
      <c r="N54" s="40"/>
      <c r="O54" s="40"/>
      <c r="P54" s="40"/>
      <c r="Q54" s="152"/>
      <c r="R54" s="40"/>
      <c r="S54" s="40"/>
      <c r="T54" s="40"/>
    </row>
    <row r="55" spans="1:20" ht="20.100000000000001" customHeight="1" x14ac:dyDescent="0.35">
      <c r="A55" s="188"/>
      <c r="B55" s="179" t="str">
        <f ca="1">"На " &amp; DAY(TODAY()) &amp;" " &amp; CurrentMonthRod &amp;" мен-р получил заявок на"</f>
        <v>На 27 Января мен-р получил заявок на</v>
      </c>
      <c r="C55" s="179"/>
      <c r="D55" s="211">
        <f ca="1">J43</f>
        <v>0</v>
      </c>
      <c r="E55" s="180"/>
      <c r="F55" s="182" t="s">
        <v>131</v>
      </c>
      <c r="G55" s="183"/>
      <c r="H55" s="184">
        <f ca="1">L43</f>
        <v>0</v>
      </c>
      <c r="I55" s="181"/>
      <c r="J55" s="185" t="str">
        <f ca="1">IF(K43&gt;=J43*1.1,"Конверсия по заявкам высокая,",IF(K43&gt;=J43*0.9,"Конверсия по заявкам нормальная,","Конверсия по заявкам низкая,"))</f>
        <v>Конверсия по заявкам высокая,</v>
      </c>
      <c r="K55" s="186"/>
      <c r="L55" s="186"/>
      <c r="M55" s="183"/>
      <c r="N55" s="185" t="str">
        <f ca="1">IF(J43&gt;=F43*1.1,"заявок в избытке для выполнения плана.",IF(J43&gt;=F43*0.9,"заявок достаточно для выполнения плана.","заявок не хватает для выполнения плана."))</f>
        <v>заявок не хватает для выполнения плана.</v>
      </c>
      <c r="O55" s="186"/>
      <c r="P55" s="186"/>
      <c r="Q55" s="183"/>
      <c r="R55" s="187" t="str">
        <f ca="1">IF(AND(J55="Конверсия по заявкам низкая,",N55="заявок не хватает для выполнения плана."),"Проведи работу с менеджером и дай еще заявок.",
IF(AND(J55="Конверсия по заявкам низкая,",N55="заявок достаточно для выполнения плана."),"Проведи работу с менеджером.",
IF(AND(J55="Конверсия по заявкам низкая,",N55="заявок в избытке для выполнения плана."),"Проведи работу с менеджером.",
IF(AND(J55="Конверсия по заявкам нормальная,",N55="заявок не хватает для выполнения плана."),"Похвали менеджера и дай еще заявок.",
IF(AND(J55="Конверсия по заявкам нормальная,",N55="заявок достаточно для выполнения плана."),"Похвали менеджера.",
IF(AND(J55="Конверсия по заявкам нормальная,",N55="заявок в избытке для выполнения плана."),"Похвали менеджера.",
IF(AND(J55="Конверсия по заявкам высокая,",N55="заявок не хватает для выполнения плана."),"Похвали менеджера и дай еще заявок.",
IF(AND(J55="Конверсия по заявкам высокая,",N55="заявок достаточно для выполнения плана."),"Похвали менеджера.",
IF(AND(J55="Конверсия по заявкам высокая,",N55="заявок в избытке для выполнения плана."),"Похвали менеджера.")
))))))))</f>
        <v>Похвали менеджера и дай еще заявок.</v>
      </c>
      <c r="S55" s="186"/>
      <c r="T55" s="186"/>
    </row>
  </sheetData>
  <mergeCells count="20">
    <mergeCell ref="F23:H23"/>
    <mergeCell ref="J23:L23"/>
    <mergeCell ref="R23:T23"/>
    <mergeCell ref="R4:T4"/>
    <mergeCell ref="B2:T2"/>
    <mergeCell ref="J19:L19"/>
    <mergeCell ref="J18:M18"/>
    <mergeCell ref="N4:P4"/>
    <mergeCell ref="B4:D4"/>
    <mergeCell ref="F4:H4"/>
    <mergeCell ref="J4:L4"/>
    <mergeCell ref="B21:T21"/>
    <mergeCell ref="N23:P23"/>
    <mergeCell ref="B23:D23"/>
    <mergeCell ref="R41:T41"/>
    <mergeCell ref="B39:T39"/>
    <mergeCell ref="B41:D41"/>
    <mergeCell ref="F41:H41"/>
    <mergeCell ref="J41:L41"/>
    <mergeCell ref="N41:P41"/>
  </mergeCells>
  <conditionalFormatting sqref="B6:D6">
    <cfRule type="expression" dxfId="96" priority="1813" stopIfTrue="1">
      <formula>$D6&lt;1</formula>
    </cfRule>
    <cfRule type="expression" dxfId="95" priority="1814">
      <formula>$D6&gt;=1</formula>
    </cfRule>
  </conditionalFormatting>
  <conditionalFormatting sqref="J6:L6">
    <cfRule type="expression" dxfId="94" priority="1530" stopIfTrue="1">
      <formula>$L6&lt;0.9</formula>
    </cfRule>
    <cfRule type="expression" dxfId="93" priority="1531" stopIfTrue="1">
      <formula>$L6&lt;=1.1</formula>
    </cfRule>
    <cfRule type="expression" dxfId="92" priority="1532">
      <formula>$L6&gt;1.1</formula>
    </cfRule>
  </conditionalFormatting>
  <conditionalFormatting sqref="F25:H25">
    <cfRule type="expression" dxfId="91" priority="1527" stopIfTrue="1">
      <formula>$H25&lt;0.9</formula>
    </cfRule>
    <cfRule type="expression" dxfId="90" priority="1528" stopIfTrue="1">
      <formula>$H25&lt;=1.1</formula>
    </cfRule>
    <cfRule type="expression" dxfId="89" priority="1529">
      <formula>$H25&gt;1.1</formula>
    </cfRule>
  </conditionalFormatting>
  <conditionalFormatting sqref="N25:P25">
    <cfRule type="expression" dxfId="88" priority="1468" stopIfTrue="1">
      <formula>$P25&lt;1</formula>
    </cfRule>
    <cfRule type="expression" dxfId="87" priority="1469">
      <formula>$P25&gt;=1</formula>
    </cfRule>
  </conditionalFormatting>
  <conditionalFormatting sqref="N6:P6">
    <cfRule type="expression" dxfId="86" priority="1428" stopIfTrue="1">
      <formula>$P6&lt;1</formula>
    </cfRule>
    <cfRule type="expression" dxfId="85" priority="1429">
      <formula>$P6&gt;=1</formula>
    </cfRule>
  </conditionalFormatting>
  <conditionalFormatting sqref="J37">
    <cfRule type="cellIs" dxfId="84" priority="1187" operator="equal">
      <formula>"Конверсия по заявкам низкая,"</formula>
    </cfRule>
  </conditionalFormatting>
  <conditionalFormatting sqref="N37">
    <cfRule type="cellIs" dxfId="83" priority="1186" operator="equal">
      <formula>"заявок не хватает для выполнения плана."</formula>
    </cfRule>
  </conditionalFormatting>
  <conditionalFormatting sqref="F27">
    <cfRule type="expression" dxfId="82" priority="1120">
      <formula>G25&lt;F25*0.9</formula>
    </cfRule>
    <cfRule type="expression" dxfId="81" priority="1121">
      <formula>G25&gt;=F25*0.9</formula>
    </cfRule>
  </conditionalFormatting>
  <conditionalFormatting sqref="F28">
    <cfRule type="expression" dxfId="80" priority="1118">
      <formula>G25&lt;F25*0.9</formula>
    </cfRule>
    <cfRule type="expression" dxfId="79" priority="1119">
      <formula>G25&gt;=F25*0.9</formula>
    </cfRule>
  </conditionalFormatting>
  <conditionalFormatting sqref="F29">
    <cfRule type="expression" dxfId="78" priority="1116">
      <formula>G25&lt;F25*0.9</formula>
    </cfRule>
    <cfRule type="expression" dxfId="77" priority="1117">
      <formula>G25&gt;=F25*0.9</formula>
    </cfRule>
  </conditionalFormatting>
  <conditionalFormatting sqref="H18">
    <cfRule type="cellIs" dxfId="76" priority="1109" operator="greaterThanOrEqual">
      <formula>1</formula>
    </cfRule>
  </conditionalFormatting>
  <conditionalFormatting sqref="H19">
    <cfRule type="expression" dxfId="75" priority="1108">
      <formula>$G6&gt;=$F6</formula>
    </cfRule>
  </conditionalFormatting>
  <conditionalFormatting sqref="J18:M18">
    <cfRule type="expression" dxfId="74" priority="1107">
      <formula>$L$6&gt;=1</formula>
    </cfRule>
  </conditionalFormatting>
  <conditionalFormatting sqref="J19:L19">
    <cfRule type="expression" dxfId="73" priority="1106">
      <formula>$J$6&gt;=$F$6</formula>
    </cfRule>
  </conditionalFormatting>
  <conditionalFormatting sqref="T18">
    <cfRule type="cellIs" dxfId="72" priority="1105" operator="greaterThanOrEqual">
      <formula>1</formula>
    </cfRule>
  </conditionalFormatting>
  <conditionalFormatting sqref="T19">
    <cfRule type="expression" dxfId="71" priority="1104">
      <formula>$G6&gt;=$F6</formula>
    </cfRule>
  </conditionalFormatting>
  <conditionalFormatting sqref="H33">
    <cfRule type="cellIs" dxfId="70" priority="1103" operator="greaterThanOrEqual">
      <formula>1</formula>
    </cfRule>
  </conditionalFormatting>
  <conditionalFormatting sqref="H37">
    <cfRule type="cellIs" dxfId="69" priority="1101" operator="greaterThanOrEqual">
      <formula>1</formula>
    </cfRule>
  </conditionalFormatting>
  <conditionalFormatting sqref="T33">
    <cfRule type="cellIs" dxfId="68" priority="1100" operator="greaterThanOrEqual">
      <formula>1</formula>
    </cfRule>
  </conditionalFormatting>
  <conditionalFormatting sqref="H34">
    <cfRule type="expression" dxfId="67" priority="1080">
      <formula>$G25&gt;=$F25</formula>
    </cfRule>
  </conditionalFormatting>
  <conditionalFormatting sqref="T34">
    <cfRule type="expression" dxfId="66" priority="1079">
      <formula>$G25&gt;=$F25</formula>
    </cfRule>
  </conditionalFormatting>
  <conditionalFormatting sqref="R27">
    <cfRule type="expression" dxfId="65" priority="656">
      <formula>S25&lt;R25*0.9</formula>
    </cfRule>
    <cfRule type="expression" dxfId="64" priority="657">
      <formula>S25&gt;=R25*0.9</formula>
    </cfRule>
  </conditionalFormatting>
  <conditionalFormatting sqref="R28">
    <cfRule type="expression" dxfId="63" priority="654">
      <formula>S25&lt;R25*0.9</formula>
    </cfRule>
    <cfRule type="expression" dxfId="62" priority="655">
      <formula>S25&gt;=R25*0.9</formula>
    </cfRule>
  </conditionalFormatting>
  <conditionalFormatting sqref="R29">
    <cfRule type="expression" dxfId="61" priority="652">
      <formula>S25&lt;R25*0.9</formula>
    </cfRule>
    <cfRule type="expression" dxfId="60" priority="653">
      <formula>S25&gt;=R25*0.9</formula>
    </cfRule>
  </conditionalFormatting>
  <conditionalFormatting sqref="J55">
    <cfRule type="cellIs" dxfId="59" priority="646" operator="equal">
      <formula>"Конверсия по заявкам низкая,"</formula>
    </cfRule>
  </conditionalFormatting>
  <conditionalFormatting sqref="N55">
    <cfRule type="cellIs" dxfId="58" priority="645" operator="equal">
      <formula>"заявок не хватает для выполнения плана."</formula>
    </cfRule>
  </conditionalFormatting>
  <conditionalFormatting sqref="F45">
    <cfRule type="expression" dxfId="57" priority="643">
      <formula>G43&lt;F43*0.9</formula>
    </cfRule>
    <cfRule type="expression" dxfId="56" priority="644">
      <formula>G43&gt;=F43*0.9</formula>
    </cfRule>
  </conditionalFormatting>
  <conditionalFormatting sqref="F46">
    <cfRule type="expression" dxfId="55" priority="641">
      <formula>G43&lt;F43*0.9</formula>
    </cfRule>
    <cfRule type="expression" dxfId="54" priority="642">
      <formula>G43&gt;=F43*0.9</formula>
    </cfRule>
  </conditionalFormatting>
  <conditionalFormatting sqref="F47">
    <cfRule type="expression" dxfId="53" priority="639">
      <formula>G43&lt;F43*0.9</formula>
    </cfRule>
    <cfRule type="expression" dxfId="52" priority="640">
      <formula>G43&gt;=F43*0.9</formula>
    </cfRule>
  </conditionalFormatting>
  <conditionalFormatting sqref="H51">
    <cfRule type="cellIs" dxfId="51" priority="638" operator="greaterThanOrEqual">
      <formula>1</formula>
    </cfRule>
  </conditionalFormatting>
  <conditionalFormatting sqref="H55">
    <cfRule type="cellIs" dxfId="50" priority="637" operator="greaterThanOrEqual">
      <formula>1</formula>
    </cfRule>
  </conditionalFormatting>
  <conditionalFormatting sqref="T51">
    <cfRule type="cellIs" dxfId="49" priority="636" operator="greaterThanOrEqual">
      <formula>1</formula>
    </cfRule>
  </conditionalFormatting>
  <conditionalFormatting sqref="H52">
    <cfRule type="expression" dxfId="48" priority="635">
      <formula>$G43&gt;=$F43</formula>
    </cfRule>
  </conditionalFormatting>
  <conditionalFormatting sqref="T52">
    <cfRule type="expression" dxfId="47" priority="634">
      <formula>$G43&gt;=$F43</formula>
    </cfRule>
  </conditionalFormatting>
  <conditionalFormatting sqref="R45">
    <cfRule type="expression" dxfId="46" priority="632">
      <formula>S43&lt;R43*0.9</formula>
    </cfRule>
    <cfRule type="expression" dxfId="45" priority="633">
      <formula>S43&gt;=R43*0.9</formula>
    </cfRule>
  </conditionalFormatting>
  <conditionalFormatting sqref="R46">
    <cfRule type="expression" dxfId="44" priority="630">
      <formula>S43&lt;R43*0.9</formula>
    </cfRule>
    <cfRule type="expression" dxfId="43" priority="631">
      <formula>S43&gt;=R43*0.9</formula>
    </cfRule>
  </conditionalFormatting>
  <conditionalFormatting sqref="R47">
    <cfRule type="expression" dxfId="42" priority="628">
      <formula>S43&lt;R43*0.9</formula>
    </cfRule>
    <cfRule type="expression" dxfId="41" priority="629">
      <formula>S43&gt;=R43*0.9</formula>
    </cfRule>
  </conditionalFormatting>
  <conditionalFormatting sqref="F43:H43">
    <cfRule type="expression" dxfId="40" priority="98" stopIfTrue="1">
      <formula>$H43&lt;0.9</formula>
    </cfRule>
    <cfRule type="expression" dxfId="39" priority="99" stopIfTrue="1">
      <formula>$H43&lt;=1.1</formula>
    </cfRule>
    <cfRule type="expression" dxfId="38" priority="100">
      <formula>$H43&gt;1.1</formula>
    </cfRule>
  </conditionalFormatting>
  <conditionalFormatting sqref="N43:P43">
    <cfRule type="expression" dxfId="37" priority="96" stopIfTrue="1">
      <formula>$P43&lt;1</formula>
    </cfRule>
    <cfRule type="expression" dxfId="36" priority="97">
      <formula>$P43&gt;=1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outlinePr summaryBelow="0"/>
  </sheetPr>
  <dimension ref="A1:AJ25"/>
  <sheetViews>
    <sheetView showGridLines="0" zoomScale="85" zoomScaleNormal="85" workbookViewId="0">
      <selection activeCell="O32" sqref="O32"/>
    </sheetView>
  </sheetViews>
  <sheetFormatPr defaultColWidth="11" defaultRowHeight="15.75" outlineLevelRow="1" x14ac:dyDescent="0.25"/>
  <cols>
    <col min="1" max="1" width="1.125" style="20" customWidth="1"/>
    <col min="2" max="2" width="4" customWidth="1"/>
    <col min="3" max="3" width="18.375" customWidth="1"/>
    <col min="4" max="34" width="6" customWidth="1"/>
    <col min="35" max="35" width="8.5" customWidth="1"/>
    <col min="36" max="36" width="4" customWidth="1"/>
  </cols>
  <sheetData>
    <row r="1" spans="1:36" s="20" customFormat="1" ht="6.95" customHeight="1" thickBot="1" x14ac:dyDescent="0.3"/>
    <row r="2" spans="1:36" ht="33" customHeight="1" thickBot="1" x14ac:dyDescent="0.3">
      <c r="B2" s="282" t="s">
        <v>15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4"/>
    </row>
    <row r="3" spans="1:36" s="5" customFormat="1" ht="6.95" customHeight="1" thickBo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36" ht="15" customHeight="1" collapsed="1" thickBot="1" x14ac:dyDescent="0.3">
      <c r="B4" s="285" t="s">
        <v>16</v>
      </c>
      <c r="C4" s="286"/>
      <c r="D4" s="45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3" t="s">
        <v>17</v>
      </c>
    </row>
    <row r="5" spans="1:36" ht="15" hidden="1" customHeight="1" outlineLevel="1" x14ac:dyDescent="0.25">
      <c r="B5" s="287" t="str">
        <f>Менеджер_1</f>
        <v>Менеджер Васильева М.А.</v>
      </c>
      <c r="C5" s="46" t="str">
        <f>Настройки!$B$5</f>
        <v>Соцсети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4">
        <f t="shared" ref="AI5:AI13" si="0">SUM(D5:AH5)</f>
        <v>0</v>
      </c>
      <c r="AJ5" s="70"/>
    </row>
    <row r="6" spans="1:36" ht="15" hidden="1" customHeight="1" outlineLevel="1" x14ac:dyDescent="0.25">
      <c r="B6" s="288"/>
      <c r="C6" s="47" t="str">
        <f>Настройки!$B$6</f>
        <v>Сайт (директ)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3"/>
      <c r="AI6" s="4">
        <f t="shared" si="0"/>
        <v>0</v>
      </c>
      <c r="AJ6" s="70"/>
    </row>
    <row r="7" spans="1:36" ht="15" hidden="1" customHeight="1" outlineLevel="1" x14ac:dyDescent="0.25">
      <c r="B7" s="288"/>
      <c r="C7" s="47" t="str">
        <f>Настройки!$B$7</f>
        <v>Сайт (SEO)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">
        <f t="shared" si="0"/>
        <v>0</v>
      </c>
      <c r="AJ7" s="70"/>
    </row>
    <row r="8" spans="1:36" ht="15" hidden="1" customHeight="1" outlineLevel="1" x14ac:dyDescent="0.25">
      <c r="B8" s="288"/>
      <c r="C8" s="47" t="str">
        <f>Настройки!$B$8</f>
        <v>Instagram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3"/>
      <c r="AI8" s="4">
        <f t="shared" si="0"/>
        <v>0</v>
      </c>
      <c r="AJ8" s="70"/>
    </row>
    <row r="9" spans="1:36" ht="15" hidden="1" customHeight="1" outlineLevel="1" x14ac:dyDescent="0.25">
      <c r="B9" s="288"/>
      <c r="C9" s="48" t="str">
        <f>Настройки!$B$9</f>
        <v>Зашли с улицы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4">
        <f t="shared" si="0"/>
        <v>0</v>
      </c>
      <c r="AJ9" s="70"/>
    </row>
    <row r="10" spans="1:36" ht="15" hidden="1" customHeight="1" outlineLevel="1" x14ac:dyDescent="0.25">
      <c r="B10" s="288"/>
      <c r="C10" s="47" t="str">
        <f>Настройки!$B$10</f>
        <v>По рекомендации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">
        <f t="shared" si="0"/>
        <v>0</v>
      </c>
      <c r="AJ10" s="70"/>
    </row>
    <row r="11" spans="1:36" ht="15" hidden="1" customHeight="1" outlineLevel="1" thickBot="1" x14ac:dyDescent="0.3">
      <c r="B11" s="288"/>
      <c r="C11" s="52" t="str">
        <f>Настройки!$B$11</f>
        <v>Постоянные клиенты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>
        <f t="shared" si="0"/>
        <v>0</v>
      </c>
      <c r="AJ11" s="70"/>
    </row>
    <row r="12" spans="1:36" ht="24.95" customHeight="1" x14ac:dyDescent="0.25">
      <c r="A12" s="21"/>
      <c r="B12" s="288"/>
      <c r="C12" s="50" t="s">
        <v>78</v>
      </c>
      <c r="D12" s="51"/>
      <c r="E12" s="51"/>
      <c r="F12" s="51"/>
      <c r="G12" s="51"/>
      <c r="H12" s="51"/>
      <c r="I12" s="51"/>
      <c r="J12" s="51"/>
      <c r="K12" s="51"/>
      <c r="L12" s="51">
        <v>5804</v>
      </c>
      <c r="M12" s="51"/>
      <c r="N12" s="51"/>
      <c r="O12" s="51"/>
      <c r="P12" s="51"/>
      <c r="Q12" s="51"/>
      <c r="R12" s="51">
        <v>2841</v>
      </c>
      <c r="S12" s="51"/>
      <c r="T12" s="235">
        <v>5766</v>
      </c>
      <c r="U12" s="51"/>
      <c r="V12" s="51"/>
      <c r="W12" s="51"/>
      <c r="X12" s="51"/>
      <c r="Y12" s="51"/>
      <c r="Z12" s="51"/>
      <c r="AA12" s="51"/>
      <c r="AB12" s="51">
        <v>9752</v>
      </c>
      <c r="AC12" s="51"/>
      <c r="AD12" s="51"/>
      <c r="AE12" s="51"/>
      <c r="AF12" s="51"/>
      <c r="AG12" s="51"/>
      <c r="AH12" s="51"/>
      <c r="AI12" s="44">
        <f t="shared" si="0"/>
        <v>24163</v>
      </c>
    </row>
    <row r="13" spans="1:36" ht="24.95" customHeight="1" thickBot="1" x14ac:dyDescent="0.3">
      <c r="B13" s="289"/>
      <c r="C13" s="49" t="s">
        <v>80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4">
        <f t="shared" si="0"/>
        <v>0</v>
      </c>
      <c r="AJ13" s="70"/>
    </row>
    <row r="14" spans="1:36" s="5" customFormat="1" ht="6.9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</row>
    <row r="15" spans="1:36" s="5" customFormat="1" ht="6.95" customHeight="1" thickBot="1" x14ac:dyDescent="0.3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6" ht="15" customHeight="1" collapsed="1" thickBot="1" x14ac:dyDescent="0.3">
      <c r="B16" s="285" t="s">
        <v>16</v>
      </c>
      <c r="C16" s="286"/>
      <c r="D16" s="45">
        <v>1</v>
      </c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  <c r="Q16" s="2">
        <v>14</v>
      </c>
      <c r="R16" s="2">
        <v>15</v>
      </c>
      <c r="S16" s="2">
        <v>16</v>
      </c>
      <c r="T16" s="2">
        <v>17</v>
      </c>
      <c r="U16" s="2">
        <v>18</v>
      </c>
      <c r="V16" s="2">
        <v>19</v>
      </c>
      <c r="W16" s="2">
        <v>20</v>
      </c>
      <c r="X16" s="2">
        <v>21</v>
      </c>
      <c r="Y16" s="2">
        <v>22</v>
      </c>
      <c r="Z16" s="2">
        <v>23</v>
      </c>
      <c r="AA16" s="2">
        <v>24</v>
      </c>
      <c r="AB16" s="2">
        <v>25</v>
      </c>
      <c r="AC16" s="2">
        <v>26</v>
      </c>
      <c r="AD16" s="2">
        <v>27</v>
      </c>
      <c r="AE16" s="2">
        <v>28</v>
      </c>
      <c r="AF16" s="2">
        <v>29</v>
      </c>
      <c r="AG16" s="2">
        <v>30</v>
      </c>
      <c r="AH16" s="2">
        <v>31</v>
      </c>
      <c r="AI16" s="3" t="s">
        <v>17</v>
      </c>
    </row>
    <row r="17" spans="1:36" ht="15" hidden="1" customHeight="1" outlineLevel="1" x14ac:dyDescent="0.25">
      <c r="B17" s="287" t="str">
        <f>Менеджер_2</f>
        <v>Менеджер Антоненко Н.Л.</v>
      </c>
      <c r="C17" s="46" t="str">
        <f>Настройки!$B$5</f>
        <v>Соцсети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>
        <f t="shared" ref="AI17:AI25" si="1">SUM(D17:AH17)</f>
        <v>0</v>
      </c>
      <c r="AJ17" s="70"/>
    </row>
    <row r="18" spans="1:36" ht="15" hidden="1" customHeight="1" outlineLevel="1" x14ac:dyDescent="0.25">
      <c r="B18" s="288"/>
      <c r="C18" s="47" t="str">
        <f>Настройки!$B$6</f>
        <v>Сайт (директ)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3"/>
      <c r="AI18" s="4">
        <f t="shared" si="1"/>
        <v>0</v>
      </c>
      <c r="AJ18" s="70"/>
    </row>
    <row r="19" spans="1:36" ht="15" hidden="1" customHeight="1" outlineLevel="1" x14ac:dyDescent="0.25">
      <c r="B19" s="288"/>
      <c r="C19" s="47" t="str">
        <f>Настройки!$B$7</f>
        <v>Сайт (SEO)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3"/>
      <c r="AI19" s="4">
        <f t="shared" si="1"/>
        <v>0</v>
      </c>
      <c r="AJ19" s="70"/>
    </row>
    <row r="20" spans="1:36" ht="15" hidden="1" customHeight="1" outlineLevel="1" x14ac:dyDescent="0.25">
      <c r="B20" s="288"/>
      <c r="C20" s="47" t="str">
        <f>Настройки!$B$8</f>
        <v>Instagram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  <c r="AI20" s="4">
        <f t="shared" si="1"/>
        <v>0</v>
      </c>
      <c r="AJ20" s="70"/>
    </row>
    <row r="21" spans="1:36" ht="15" hidden="1" customHeight="1" outlineLevel="1" x14ac:dyDescent="0.25">
      <c r="B21" s="288"/>
      <c r="C21" s="48" t="str">
        <f>Настройки!$B$9</f>
        <v>Зашли с улицы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3"/>
      <c r="AI21" s="4">
        <f t="shared" si="1"/>
        <v>0</v>
      </c>
      <c r="AJ21" s="70"/>
    </row>
    <row r="22" spans="1:36" ht="15" hidden="1" customHeight="1" outlineLevel="1" x14ac:dyDescent="0.25">
      <c r="B22" s="288"/>
      <c r="C22" s="47" t="str">
        <f>Настройки!$B$10</f>
        <v>По рекомендации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3"/>
      <c r="AI22" s="4">
        <f t="shared" si="1"/>
        <v>0</v>
      </c>
      <c r="AJ22" s="70"/>
    </row>
    <row r="23" spans="1:36" ht="15" hidden="1" customHeight="1" outlineLevel="1" thickBot="1" x14ac:dyDescent="0.3">
      <c r="B23" s="288"/>
      <c r="C23" s="52" t="str">
        <f>Настройки!$B$11</f>
        <v>Постоянные клиенты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>
        <f t="shared" si="1"/>
        <v>0</v>
      </c>
      <c r="AJ23" s="70"/>
    </row>
    <row r="24" spans="1:36" ht="24.95" customHeight="1" x14ac:dyDescent="0.25">
      <c r="A24" s="21"/>
      <c r="B24" s="288"/>
      <c r="C24" s="50" t="s">
        <v>78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>
        <v>12453</v>
      </c>
      <c r="O24" s="236">
        <v>4676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44">
        <f t="shared" si="1"/>
        <v>17129</v>
      </c>
    </row>
    <row r="25" spans="1:36" ht="24.95" customHeight="1" thickBot="1" x14ac:dyDescent="0.3">
      <c r="B25" s="289"/>
      <c r="C25" s="49" t="s">
        <v>80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4">
        <f t="shared" si="1"/>
        <v>0</v>
      </c>
      <c r="AJ25" s="70"/>
    </row>
  </sheetData>
  <mergeCells count="5">
    <mergeCell ref="B2:AI2"/>
    <mergeCell ref="B4:C4"/>
    <mergeCell ref="B5:B13"/>
    <mergeCell ref="B16:C16"/>
    <mergeCell ref="B17:B25"/>
  </mergeCells>
  <conditionalFormatting sqref="D5:D13">
    <cfRule type="expression" dxfId="35" priority="135">
      <formula>DAY(TODAY())=D$4</formula>
    </cfRule>
  </conditionalFormatting>
  <conditionalFormatting sqref="E5:AH13">
    <cfRule type="expression" dxfId="34" priority="134">
      <formula>DAY(TODAY())=E$4</formula>
    </cfRule>
  </conditionalFormatting>
  <conditionalFormatting sqref="F24:AH25 F17:AG23">
    <cfRule type="expression" dxfId="33" priority="132">
      <formula>DAY(TODAY())=F$4</formula>
    </cfRule>
  </conditionalFormatting>
  <conditionalFormatting sqref="D17:D25">
    <cfRule type="expression" dxfId="32" priority="95">
      <formula>DAY(TODAY())=D$4</formula>
    </cfRule>
  </conditionalFormatting>
  <conditionalFormatting sqref="E17:E25">
    <cfRule type="expression" dxfId="31" priority="94">
      <formula>DAY(TODAY())=E$4</formula>
    </cfRule>
  </conditionalFormatting>
  <conditionalFormatting sqref="C5:C11">
    <cfRule type="duplicateValues" dxfId="30" priority="57"/>
  </conditionalFormatting>
  <conditionalFormatting sqref="C17:C23">
    <cfRule type="duplicateValues" dxfId="29" priority="56"/>
  </conditionalFormatting>
  <conditionalFormatting sqref="AH17:AH23">
    <cfRule type="expression" dxfId="28" priority="1">
      <formula>DAY(TODAY())=AH$4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outlinePr summaryBelow="0"/>
  </sheetPr>
  <dimension ref="A1:U48"/>
  <sheetViews>
    <sheetView showGridLines="0" zoomScale="70" zoomScaleNormal="70" workbookViewId="0">
      <pane ySplit="4" topLeftCell="A5" activePane="bottomLeft" state="frozen"/>
      <selection pane="bottomLeft" activeCell="H53" sqref="H53"/>
    </sheetView>
  </sheetViews>
  <sheetFormatPr defaultColWidth="11" defaultRowHeight="15.75" outlineLevelRow="1" x14ac:dyDescent="0.25"/>
  <cols>
    <col min="1" max="1" width="1.625" customWidth="1"/>
    <col min="2" max="2" width="20" customWidth="1"/>
    <col min="3" max="4" width="6.625" customWidth="1"/>
    <col min="5" max="11" width="10.875" customWidth="1"/>
    <col min="12" max="12" width="1.625" style="20" customWidth="1"/>
    <col min="13" max="15" width="10.875" customWidth="1"/>
    <col min="16" max="16" width="1.625" style="20" customWidth="1"/>
    <col min="17" max="17" width="58.375" customWidth="1"/>
    <col min="18" max="18" width="1.625" style="5" customWidth="1"/>
    <col min="19" max="21" width="10.875" customWidth="1"/>
  </cols>
  <sheetData>
    <row r="1" spans="1:21" s="20" customFormat="1" ht="6.95" customHeight="1" x14ac:dyDescent="0.25">
      <c r="A1" s="188"/>
      <c r="R1" s="5"/>
    </row>
    <row r="2" spans="1:21" ht="21.95" customHeight="1" x14ac:dyDescent="0.25">
      <c r="A2" s="189"/>
      <c r="B2" s="74" t="s">
        <v>94</v>
      </c>
      <c r="C2" s="298" t="s">
        <v>67</v>
      </c>
      <c r="D2" s="298"/>
      <c r="E2" s="327" t="s">
        <v>46</v>
      </c>
      <c r="F2" s="327"/>
      <c r="G2" s="327"/>
      <c r="H2" s="327"/>
      <c r="I2" s="327"/>
      <c r="J2" s="327"/>
      <c r="K2" s="328"/>
      <c r="M2" s="326">
        <v>96338</v>
      </c>
      <c r="N2" s="326"/>
      <c r="O2" s="326"/>
      <c r="Q2" s="75" t="s">
        <v>96</v>
      </c>
      <c r="R2" s="85"/>
      <c r="S2" s="326"/>
      <c r="T2" s="326"/>
      <c r="U2" s="326"/>
    </row>
    <row r="3" spans="1:21" s="20" customFormat="1" ht="6.95" customHeight="1" thickBot="1" x14ac:dyDescent="0.3">
      <c r="A3" s="188"/>
      <c r="R3" s="5"/>
    </row>
    <row r="4" spans="1:21" ht="24.95" customHeight="1" thickBot="1" x14ac:dyDescent="0.3">
      <c r="A4" s="189"/>
      <c r="B4" s="299" t="str">
        <f>IF((SUMIFS(C1:C9416,A1:A9416,"Тур")-COUNTIF(A1:A9416,"Тур"))&lt;&gt;0,
"Ошибка распределения вклада менеджеров по турам!!!",
IF((SUMIFS(C1:C9416,A1:A9416,"Доп")-COUNTIF(A1:A9416,"Доп"))&lt;&gt;0,
"Ошибка распределения вклада менеджеров по допам!!!",
"Распределение плана продаж и расчет ЗП"))</f>
        <v>Распределение плана продаж и расчет ЗП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1"/>
      <c r="Q4" s="299" t="s">
        <v>14</v>
      </c>
      <c r="R4" s="300"/>
      <c r="S4" s="300"/>
      <c r="T4" s="300"/>
      <c r="U4" s="301"/>
    </row>
    <row r="5" spans="1:21" s="20" customFormat="1" ht="9.9499999999999993" customHeight="1" x14ac:dyDescent="0.25">
      <c r="A5" s="188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R5" s="5"/>
    </row>
    <row r="6" spans="1:21" ht="20.100000000000001" customHeight="1" thickBot="1" x14ac:dyDescent="0.3">
      <c r="A6" s="190"/>
      <c r="B6" s="336" t="s">
        <v>136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</row>
    <row r="7" spans="1:21" s="20" customFormat="1" ht="9.9499999999999993" customHeight="1" thickBot="1" x14ac:dyDescent="0.3">
      <c r="A7" s="188"/>
      <c r="B7" s="160"/>
      <c r="C7" s="161"/>
      <c r="D7" s="162"/>
      <c r="E7" s="162"/>
      <c r="F7" s="162"/>
      <c r="G7" s="162"/>
      <c r="H7" s="162"/>
      <c r="I7" s="162"/>
      <c r="J7" s="162"/>
      <c r="K7" s="163"/>
      <c r="L7" s="80"/>
      <c r="M7" s="80"/>
      <c r="N7" s="80"/>
      <c r="O7" s="80"/>
      <c r="Q7" s="105"/>
      <c r="R7" s="82"/>
      <c r="S7" s="83"/>
      <c r="T7" s="5"/>
    </row>
    <row r="8" spans="1:21" ht="20.100000000000001" customHeight="1" x14ac:dyDescent="0.25">
      <c r="A8" s="189"/>
      <c r="B8" s="290" t="s">
        <v>19</v>
      </c>
      <c r="C8" s="291"/>
      <c r="D8" s="14" t="s">
        <v>20</v>
      </c>
      <c r="E8" s="91" t="s">
        <v>21</v>
      </c>
      <c r="F8" s="92" t="s">
        <v>10</v>
      </c>
      <c r="G8" s="92" t="s">
        <v>9</v>
      </c>
      <c r="H8" s="73" t="s">
        <v>0</v>
      </c>
      <c r="I8" s="91" t="s">
        <v>111</v>
      </c>
      <c r="J8" s="91" t="s">
        <v>112</v>
      </c>
      <c r="K8" s="164" t="s">
        <v>113</v>
      </c>
      <c r="L8" s="159"/>
      <c r="M8" s="11" t="s">
        <v>1</v>
      </c>
      <c r="N8" s="11" t="s">
        <v>11</v>
      </c>
      <c r="O8" s="12" t="s">
        <v>12</v>
      </c>
      <c r="Q8" s="96" t="s">
        <v>18</v>
      </c>
      <c r="R8" s="101"/>
      <c r="S8" s="87" t="s">
        <v>4</v>
      </c>
      <c r="T8" s="11" t="s">
        <v>13</v>
      </c>
      <c r="U8" s="12" t="s">
        <v>29</v>
      </c>
    </row>
    <row r="9" spans="1:21" ht="20.100000000000001" customHeight="1" x14ac:dyDescent="0.25">
      <c r="A9" s="189" t="str">
        <f>IF(B6&lt;&gt;"","Тур","")</f>
        <v>Тур</v>
      </c>
      <c r="B9" s="308" t="s">
        <v>110</v>
      </c>
      <c r="C9" s="310">
        <v>0.8</v>
      </c>
      <c r="D9" s="15" t="s">
        <v>22</v>
      </c>
      <c r="E9" s="212">
        <f>H9*0.4</f>
        <v>15414.080000000002</v>
      </c>
      <c r="F9" s="212">
        <f>H9*0.6</f>
        <v>23121.120000000003</v>
      </c>
      <c r="G9" s="212">
        <f>H9*0.8</f>
        <v>30828.160000000003</v>
      </c>
      <c r="H9" s="213">
        <f>$M$2/COUNTIF($A$1:$A$9604,"Тур")*C9</f>
        <v>38535.200000000004</v>
      </c>
      <c r="I9" s="212">
        <f>H9*1.2</f>
        <v>46242.240000000005</v>
      </c>
      <c r="J9" s="212">
        <f>H9*1.4</f>
        <v>53949.280000000006</v>
      </c>
      <c r="K9" s="214">
        <f>H9*1.6</f>
        <v>61656.320000000007</v>
      </c>
      <c r="L9" s="159"/>
      <c r="M9" s="302">
        <f>ФактТурыМенеджер1</f>
        <v>24163</v>
      </c>
      <c r="N9" s="304" t="str">
        <f>IF(M9&lt;E9,0,INDEX(E8:K8,MATCH(M9,E9:K9,1)))</f>
        <v>II</v>
      </c>
      <c r="O9" s="306">
        <f>IF(M9&lt;E9,0,INDEX(E10:K10,1,MATCH(M9,E9:K9,1)))</f>
        <v>2774.5344</v>
      </c>
      <c r="Q9" s="98" t="str">
        <f>Настройки!$N$5</f>
        <v>Нашел ошибку или внес конструктивную идею по доработке сайта</v>
      </c>
      <c r="R9" s="102"/>
      <c r="S9" s="10">
        <v>0</v>
      </c>
      <c r="T9" s="215">
        <f>Настройки!$O$5</f>
        <v>100</v>
      </c>
      <c r="U9" s="216">
        <f t="shared" ref="U9:U15" si="0">T9*S9</f>
        <v>0</v>
      </c>
    </row>
    <row r="10" spans="1:21" ht="20.100000000000001" customHeight="1" thickBot="1" x14ac:dyDescent="0.3">
      <c r="A10" s="189"/>
      <c r="B10" s="309"/>
      <c r="C10" s="311"/>
      <c r="D10" s="16" t="s">
        <v>23</v>
      </c>
      <c r="E10" s="217">
        <f>E9*БонусТуры1</f>
        <v>1541.4080000000004</v>
      </c>
      <c r="F10" s="217">
        <f>F9*БонусТуры2</f>
        <v>2774.5344</v>
      </c>
      <c r="G10" s="217">
        <f>G9*БонусТуры3</f>
        <v>4315.9424000000008</v>
      </c>
      <c r="H10" s="218">
        <f>H9*БонусТуры4</f>
        <v>6936.3360000000002</v>
      </c>
      <c r="I10" s="218">
        <f>I9*БонусТуры5</f>
        <v>9248.4480000000021</v>
      </c>
      <c r="J10" s="217">
        <f>J9*БонусТуры6</f>
        <v>11868.841600000002</v>
      </c>
      <c r="K10" s="219">
        <f>K9*БонусТуры7</f>
        <v>15414.080000000002</v>
      </c>
      <c r="L10" s="159"/>
      <c r="M10" s="303"/>
      <c r="N10" s="305"/>
      <c r="O10" s="307"/>
      <c r="Q10" s="97" t="str">
        <f>Настройки!$N$6</f>
        <v>Добавил новую информацию на сайт или обновил существующую</v>
      </c>
      <c r="R10" s="103"/>
      <c r="S10" s="10">
        <v>0</v>
      </c>
      <c r="T10" s="215">
        <f>Настройки!$O$6</f>
        <v>300</v>
      </c>
      <c r="U10" s="216">
        <f t="shared" si="0"/>
        <v>0</v>
      </c>
    </row>
    <row r="11" spans="1:21" ht="20.100000000000001" customHeight="1" x14ac:dyDescent="0.25">
      <c r="A11" s="189"/>
      <c r="B11" s="290" t="s">
        <v>95</v>
      </c>
      <c r="C11" s="291"/>
      <c r="D11" s="14" t="s">
        <v>20</v>
      </c>
      <c r="E11" s="91" t="s">
        <v>21</v>
      </c>
      <c r="F11" s="92" t="s">
        <v>10</v>
      </c>
      <c r="G11" s="92" t="s">
        <v>9</v>
      </c>
      <c r="H11" s="73" t="s">
        <v>0</v>
      </c>
      <c r="I11" s="91" t="s">
        <v>111</v>
      </c>
      <c r="J11" s="91" t="s">
        <v>112</v>
      </c>
      <c r="K11" s="164" t="s">
        <v>113</v>
      </c>
      <c r="M11" s="11" t="s">
        <v>1</v>
      </c>
      <c r="N11" s="11" t="s">
        <v>11</v>
      </c>
      <c r="O11" s="12" t="s">
        <v>12</v>
      </c>
      <c r="Q11" s="97" t="str">
        <f>Настройки!$N$7</f>
        <v>Взял отзыв у клиента или рекомендацию у клиента</v>
      </c>
      <c r="R11" s="103"/>
      <c r="S11" s="10">
        <v>0</v>
      </c>
      <c r="T11" s="215">
        <f>Настройки!$O$7</f>
        <v>300</v>
      </c>
      <c r="U11" s="216">
        <f t="shared" si="0"/>
        <v>0</v>
      </c>
    </row>
    <row r="12" spans="1:21" ht="20.100000000000001" customHeight="1" x14ac:dyDescent="0.25">
      <c r="A12" s="189" t="str">
        <f>IF(B6&lt;&gt;"","Доп","")</f>
        <v>Доп</v>
      </c>
      <c r="B12" s="308" t="s">
        <v>110</v>
      </c>
      <c r="C12" s="310">
        <v>1</v>
      </c>
      <c r="D12" s="15" t="s">
        <v>22</v>
      </c>
      <c r="E12" s="212">
        <f>H12*0.4</f>
        <v>0</v>
      </c>
      <c r="F12" s="212">
        <f>H12*0.6</f>
        <v>0</v>
      </c>
      <c r="G12" s="212">
        <f>H12*0.8</f>
        <v>0</v>
      </c>
      <c r="H12" s="213">
        <f>$S$2/COUNTIF($A$1:$A$9604,"Доп")*C12</f>
        <v>0</v>
      </c>
      <c r="I12" s="212">
        <f>H12*1.2</f>
        <v>0</v>
      </c>
      <c r="J12" s="212">
        <f>H12*1.4</f>
        <v>0</v>
      </c>
      <c r="K12" s="214">
        <f>H12*1.6</f>
        <v>0</v>
      </c>
      <c r="M12" s="302">
        <f>ФактДопыМенеджер1</f>
        <v>0</v>
      </c>
      <c r="N12" s="304" t="str">
        <f>IF(M12&lt;E12,0,INDEX(E11:K11,MATCH(M12,E12:K12,1)))</f>
        <v>МегаЦель</v>
      </c>
      <c r="O12" s="306">
        <f>IF(M12&lt;E12,0,INDEX(E13:K13,1,MATCH(M12,E12:K12,1)))</f>
        <v>0</v>
      </c>
      <c r="Q12" s="97" t="str">
        <f>Настройки!$N$8</f>
        <v>Выход на работу в выходной или праздничный день</v>
      </c>
      <c r="R12" s="103"/>
      <c r="S12" s="10">
        <v>0</v>
      </c>
      <c r="T12" s="215">
        <f>Настройки!$O$8</f>
        <v>500</v>
      </c>
      <c r="U12" s="216">
        <f t="shared" si="0"/>
        <v>0</v>
      </c>
    </row>
    <row r="13" spans="1:21" ht="20.100000000000001" customHeight="1" collapsed="1" thickBot="1" x14ac:dyDescent="0.3">
      <c r="A13" s="189"/>
      <c r="B13" s="309"/>
      <c r="C13" s="311"/>
      <c r="D13" s="16" t="s">
        <v>23</v>
      </c>
      <c r="E13" s="217">
        <f>E12*БонусДопы1</f>
        <v>0</v>
      </c>
      <c r="F13" s="217">
        <f>F12*БонусДопы2</f>
        <v>0</v>
      </c>
      <c r="G13" s="217">
        <f>G12*БонусДопы3</f>
        <v>0</v>
      </c>
      <c r="H13" s="218">
        <f>H12*БонусДопы4</f>
        <v>0</v>
      </c>
      <c r="I13" s="217">
        <f>I12*БонусДопы5</f>
        <v>0</v>
      </c>
      <c r="J13" s="217">
        <f>J12*БонусДопы6</f>
        <v>0</v>
      </c>
      <c r="K13" s="219">
        <f>K12*БонусДопы7</f>
        <v>0</v>
      </c>
      <c r="M13" s="334"/>
      <c r="N13" s="335"/>
      <c r="O13" s="356"/>
      <c r="Q13" s="98" t="str">
        <f>Настройки!$N$9</f>
        <v>Заполнение полной информации об отеле в таблице отелей</v>
      </c>
      <c r="R13" s="104"/>
      <c r="S13" s="10">
        <v>0</v>
      </c>
      <c r="T13" s="215">
        <f>Настройки!$O$9</f>
        <v>100</v>
      </c>
      <c r="U13" s="216">
        <f t="shared" si="0"/>
        <v>0</v>
      </c>
    </row>
    <row r="14" spans="1:21" ht="20.100000000000001" hidden="1" customHeight="1" outlineLevel="1" x14ac:dyDescent="0.25">
      <c r="A14" s="189"/>
      <c r="B14" s="312" t="s">
        <v>28</v>
      </c>
      <c r="C14" s="313"/>
      <c r="D14" s="313"/>
      <c r="E14" s="313"/>
      <c r="F14" s="313"/>
      <c r="G14" s="313"/>
      <c r="H14" s="313"/>
      <c r="I14" s="313"/>
      <c r="J14" s="313"/>
      <c r="K14" s="313"/>
      <c r="L14" s="84"/>
      <c r="M14" s="87" t="s">
        <v>1</v>
      </c>
      <c r="N14" s="11" t="s">
        <v>26</v>
      </c>
      <c r="O14" s="12" t="s">
        <v>12</v>
      </c>
      <c r="Q14" s="98" t="str">
        <f>Настройки!$N$10</f>
        <v>Подготовил презентацию или доклад по направлению</v>
      </c>
      <c r="R14" s="104"/>
      <c r="S14" s="10">
        <v>0</v>
      </c>
      <c r="T14" s="215">
        <f>Настройки!$O$10</f>
        <v>300</v>
      </c>
      <c r="U14" s="216">
        <f t="shared" si="0"/>
        <v>0</v>
      </c>
    </row>
    <row r="15" spans="1:21" ht="20.100000000000001" hidden="1" customHeight="1" outlineLevel="1" x14ac:dyDescent="0.25">
      <c r="A15" s="189"/>
      <c r="B15" s="292"/>
      <c r="C15" s="293"/>
      <c r="D15" s="293"/>
      <c r="E15" s="293"/>
      <c r="F15" s="293"/>
      <c r="G15" s="293"/>
      <c r="H15" s="293"/>
      <c r="I15" s="294"/>
      <c r="J15" s="88" t="s">
        <v>22</v>
      </c>
      <c r="K15" s="89"/>
      <c r="L15" s="84"/>
      <c r="M15" s="319"/>
      <c r="N15" s="317"/>
      <c r="O15" s="306">
        <f>IF(M15&lt;N15,0,IF(M15&gt;=K15,K16,M15/K15*K16))</f>
        <v>0</v>
      </c>
      <c r="Q15" s="93" t="str">
        <f>Настройки!$N$11</f>
        <v>Подготовил выпуск рассылки</v>
      </c>
      <c r="R15" s="103"/>
      <c r="S15" s="6">
        <v>0</v>
      </c>
      <c r="T15" s="215">
        <f>Настройки!$O$11</f>
        <v>500</v>
      </c>
      <c r="U15" s="216">
        <f t="shared" si="0"/>
        <v>0</v>
      </c>
    </row>
    <row r="16" spans="1:21" ht="20.100000000000001" hidden="1" customHeight="1" outlineLevel="1" x14ac:dyDescent="0.25">
      <c r="A16" s="189"/>
      <c r="B16" s="295"/>
      <c r="C16" s="296"/>
      <c r="D16" s="296"/>
      <c r="E16" s="296"/>
      <c r="F16" s="296"/>
      <c r="G16" s="296"/>
      <c r="H16" s="296"/>
      <c r="I16" s="297"/>
      <c r="J16" s="220" t="s">
        <v>23</v>
      </c>
      <c r="K16" s="221"/>
      <c r="L16" s="84"/>
      <c r="M16" s="329"/>
      <c r="N16" s="318"/>
      <c r="O16" s="325"/>
      <c r="Q16" s="109"/>
      <c r="R16" s="109"/>
      <c r="S16" s="17"/>
      <c r="T16" s="86"/>
      <c r="U16" s="17"/>
    </row>
    <row r="17" spans="1:21" ht="20.100000000000001" hidden="1" customHeight="1" outlineLevel="1" x14ac:dyDescent="0.25">
      <c r="A17" s="189"/>
      <c r="B17" s="292"/>
      <c r="C17" s="293"/>
      <c r="D17" s="293"/>
      <c r="E17" s="293"/>
      <c r="F17" s="293"/>
      <c r="G17" s="293"/>
      <c r="H17" s="293"/>
      <c r="I17" s="294"/>
      <c r="J17" s="88" t="s">
        <v>22</v>
      </c>
      <c r="K17" s="90"/>
      <c r="L17" s="84"/>
      <c r="M17" s="319"/>
      <c r="N17" s="317"/>
      <c r="O17" s="314">
        <f t="shared" ref="O17" si="1">IF(M17&lt;N17,0,IF(M17&gt;=K17,K18,M17/K17*K18))</f>
        <v>0</v>
      </c>
      <c r="Q17" s="94" t="s">
        <v>24</v>
      </c>
      <c r="R17" s="101"/>
      <c r="S17" s="18" t="s">
        <v>4</v>
      </c>
      <c r="T17" s="19" t="s">
        <v>13</v>
      </c>
      <c r="U17" s="95" t="s">
        <v>29</v>
      </c>
    </row>
    <row r="18" spans="1:21" ht="20.100000000000001" hidden="1" customHeight="1" outlineLevel="1" x14ac:dyDescent="0.25">
      <c r="A18" s="189"/>
      <c r="B18" s="295"/>
      <c r="C18" s="296"/>
      <c r="D18" s="296"/>
      <c r="E18" s="296"/>
      <c r="F18" s="296"/>
      <c r="G18" s="296"/>
      <c r="H18" s="296"/>
      <c r="I18" s="297"/>
      <c r="J18" s="220" t="s">
        <v>23</v>
      </c>
      <c r="K18" s="222"/>
      <c r="L18" s="84"/>
      <c r="M18" s="329"/>
      <c r="N18" s="318"/>
      <c r="O18" s="314"/>
      <c r="Q18" s="99" t="str">
        <f>Настройки!$K$5</f>
        <v>Опоздал на работу</v>
      </c>
      <c r="R18" s="101"/>
      <c r="S18" s="76">
        <v>0</v>
      </c>
      <c r="T18" s="215">
        <f>Настройки!$L$5</f>
        <v>250</v>
      </c>
      <c r="U18" s="216">
        <f t="shared" ref="U18:U24" si="2">T18*S18</f>
        <v>0</v>
      </c>
    </row>
    <row r="19" spans="1:21" ht="20.100000000000001" hidden="1" customHeight="1" outlineLevel="1" x14ac:dyDescent="0.25">
      <c r="A19" s="189"/>
      <c r="B19" s="292"/>
      <c r="C19" s="293"/>
      <c r="D19" s="293"/>
      <c r="E19" s="293"/>
      <c r="F19" s="293"/>
      <c r="G19" s="293"/>
      <c r="H19" s="293"/>
      <c r="I19" s="294"/>
      <c r="J19" s="88" t="s">
        <v>22</v>
      </c>
      <c r="K19" s="90"/>
      <c r="L19" s="84"/>
      <c r="M19" s="319"/>
      <c r="N19" s="317"/>
      <c r="O19" s="314">
        <f t="shared" ref="O19" si="3">IF(M19&lt;N19,0,IF(M19&gt;=K19,K20,M19/K19*K20))</f>
        <v>0</v>
      </c>
      <c r="Q19" s="99" t="str">
        <f>Настройки!$K$6</f>
        <v>Опоздал на работу не предупредив об этом по телефону</v>
      </c>
      <c r="R19" s="101"/>
      <c r="S19" s="76">
        <v>0</v>
      </c>
      <c r="T19" s="215">
        <f>Настройки!$L$6</f>
        <v>300</v>
      </c>
      <c r="U19" s="216">
        <f t="shared" si="2"/>
        <v>0</v>
      </c>
    </row>
    <row r="20" spans="1:21" ht="20.100000000000001" hidden="1" customHeight="1" outlineLevel="1" x14ac:dyDescent="0.25">
      <c r="A20" s="189"/>
      <c r="B20" s="295"/>
      <c r="C20" s="296"/>
      <c r="D20" s="296"/>
      <c r="E20" s="296"/>
      <c r="F20" s="296"/>
      <c r="G20" s="296"/>
      <c r="H20" s="296"/>
      <c r="I20" s="297"/>
      <c r="J20" s="220" t="s">
        <v>23</v>
      </c>
      <c r="K20" s="222"/>
      <c r="L20" s="84"/>
      <c r="M20" s="329"/>
      <c r="N20" s="318"/>
      <c r="O20" s="314"/>
      <c r="Q20" s="99" t="str">
        <f>Настройки!$K$7</f>
        <v>Негативный отзыв клиента о работе менеджера</v>
      </c>
      <c r="R20" s="102"/>
      <c r="S20" s="78">
        <v>0</v>
      </c>
      <c r="T20" s="215">
        <f>Настройки!$L$7</f>
        <v>400</v>
      </c>
      <c r="U20" s="216">
        <f t="shared" si="2"/>
        <v>0</v>
      </c>
    </row>
    <row r="21" spans="1:21" ht="20.100000000000001" hidden="1" customHeight="1" outlineLevel="1" x14ac:dyDescent="0.25">
      <c r="A21" s="189"/>
      <c r="B21" s="292"/>
      <c r="C21" s="293"/>
      <c r="D21" s="293"/>
      <c r="E21" s="293"/>
      <c r="F21" s="293"/>
      <c r="G21" s="293"/>
      <c r="H21" s="293"/>
      <c r="I21" s="294"/>
      <c r="J21" s="88" t="s">
        <v>22</v>
      </c>
      <c r="K21" s="90"/>
      <c r="L21" s="84"/>
      <c r="M21" s="319"/>
      <c r="N21" s="317"/>
      <c r="O21" s="314">
        <f t="shared" ref="O21" si="4">IF(M21&lt;N21,0,IF(M21&gt;=K21,K22,M21/K21*K22))</f>
        <v>0</v>
      </c>
      <c r="Q21" s="99" t="str">
        <f>Настройки!$K$8</f>
        <v>Допущенна ошибка в договоре с туристом</v>
      </c>
      <c r="R21" s="103"/>
      <c r="S21" s="78">
        <v>0</v>
      </c>
      <c r="T21" s="215">
        <f>Настройки!$L$8</f>
        <v>500</v>
      </c>
      <c r="U21" s="216">
        <f t="shared" si="2"/>
        <v>0</v>
      </c>
    </row>
    <row r="22" spans="1:21" ht="20.100000000000001" hidden="1" customHeight="1" outlineLevel="1" x14ac:dyDescent="0.25">
      <c r="A22" s="189"/>
      <c r="B22" s="295"/>
      <c r="C22" s="296"/>
      <c r="D22" s="296"/>
      <c r="E22" s="296"/>
      <c r="F22" s="296"/>
      <c r="G22" s="296"/>
      <c r="H22" s="296"/>
      <c r="I22" s="297"/>
      <c r="J22" s="220" t="s">
        <v>23</v>
      </c>
      <c r="K22" s="222"/>
      <c r="L22" s="84"/>
      <c r="M22" s="329"/>
      <c r="N22" s="318"/>
      <c r="O22" s="314"/>
      <c r="Q22" s="100" t="str">
        <f>Настройки!$K$9</f>
        <v>Не внесена информация о взаимодействии с клиентом в CRM</v>
      </c>
      <c r="R22" s="103"/>
      <c r="S22" s="76">
        <v>0</v>
      </c>
      <c r="T22" s="215">
        <f>Настройки!$L$9</f>
        <v>250</v>
      </c>
      <c r="U22" s="216">
        <f t="shared" si="2"/>
        <v>0</v>
      </c>
    </row>
    <row r="23" spans="1:21" ht="20.100000000000001" hidden="1" customHeight="1" outlineLevel="1" x14ac:dyDescent="0.25">
      <c r="A23" s="189"/>
      <c r="B23" s="292"/>
      <c r="C23" s="293"/>
      <c r="D23" s="293"/>
      <c r="E23" s="293"/>
      <c r="F23" s="293"/>
      <c r="G23" s="293"/>
      <c r="H23" s="293"/>
      <c r="I23" s="294"/>
      <c r="J23" s="88" t="s">
        <v>22</v>
      </c>
      <c r="K23" s="90"/>
      <c r="L23" s="84"/>
      <c r="M23" s="319"/>
      <c r="N23" s="317"/>
      <c r="O23" s="314">
        <f t="shared" ref="O23" si="5">IF(M23&lt;N23,0,IF(M23&gt;=K23,K24,M23/K23*K24))</f>
        <v>0</v>
      </c>
      <c r="Q23" s="100" t="str">
        <f>Настройки!$K$10</f>
        <v>Не знание рекламных акций турагентства</v>
      </c>
      <c r="R23" s="103"/>
      <c r="S23" s="76">
        <v>0</v>
      </c>
      <c r="T23" s="215">
        <f>Настройки!$L$10</f>
        <v>250</v>
      </c>
      <c r="U23" s="216">
        <f t="shared" si="2"/>
        <v>0</v>
      </c>
    </row>
    <row r="24" spans="1:21" ht="20.100000000000001" hidden="1" customHeight="1" outlineLevel="1" thickBot="1" x14ac:dyDescent="0.3">
      <c r="A24" s="189"/>
      <c r="B24" s="321"/>
      <c r="C24" s="322"/>
      <c r="D24" s="322"/>
      <c r="E24" s="322"/>
      <c r="F24" s="322"/>
      <c r="G24" s="322"/>
      <c r="H24" s="322"/>
      <c r="I24" s="323"/>
      <c r="J24" s="223" t="s">
        <v>23</v>
      </c>
      <c r="K24" s="224"/>
      <c r="L24" s="84"/>
      <c r="M24" s="320"/>
      <c r="N24" s="355"/>
      <c r="O24" s="342"/>
      <c r="Q24" s="110" t="str">
        <f>Настройки!$K$11</f>
        <v>В CRM указан не корректный источник рекламы</v>
      </c>
      <c r="R24" s="104"/>
      <c r="S24" s="79">
        <v>0</v>
      </c>
      <c r="T24" s="215">
        <f>Настройки!$L$11</f>
        <v>250</v>
      </c>
      <c r="U24" s="225">
        <f t="shared" si="2"/>
        <v>0</v>
      </c>
    </row>
    <row r="25" spans="1:21" ht="20.100000000000001" customHeight="1" x14ac:dyDescent="0.25">
      <c r="A25" s="189"/>
      <c r="B25" s="345" t="s">
        <v>45</v>
      </c>
      <c r="C25" s="346"/>
      <c r="D25" s="346"/>
      <c r="E25" s="346"/>
      <c r="F25" s="346"/>
      <c r="G25" s="346"/>
      <c r="H25" s="346"/>
      <c r="I25" s="347"/>
      <c r="J25" s="351">
        <v>16000</v>
      </c>
      <c r="K25" s="352"/>
      <c r="L25" s="84"/>
      <c r="M25" s="330" t="s">
        <v>27</v>
      </c>
      <c r="N25" s="331"/>
      <c r="O25" s="315">
        <f>SUM(J25,O9,IFERROR(O12,0),O15:O24,S25)</f>
        <v>18774.5344</v>
      </c>
      <c r="Q25" s="343" t="s">
        <v>44</v>
      </c>
      <c r="R25" s="104"/>
      <c r="S25" s="337">
        <f>SUM(U9:U15)-SUM(U17:U24)</f>
        <v>0</v>
      </c>
      <c r="T25" s="338"/>
      <c r="U25" s="339"/>
    </row>
    <row r="26" spans="1:21" ht="20.100000000000001" customHeight="1" thickBot="1" x14ac:dyDescent="0.3">
      <c r="A26" s="189"/>
      <c r="B26" s="348"/>
      <c r="C26" s="349"/>
      <c r="D26" s="349"/>
      <c r="E26" s="349"/>
      <c r="F26" s="349"/>
      <c r="G26" s="349"/>
      <c r="H26" s="349"/>
      <c r="I26" s="350"/>
      <c r="J26" s="353"/>
      <c r="K26" s="354"/>
      <c r="L26" s="84"/>
      <c r="M26" s="332"/>
      <c r="N26" s="333"/>
      <c r="O26" s="316"/>
      <c r="Q26" s="344"/>
      <c r="R26" s="103"/>
      <c r="S26" s="340"/>
      <c r="T26" s="341"/>
      <c r="U26" s="342"/>
    </row>
    <row r="27" spans="1:21" s="20" customFormat="1" ht="9.9499999999999993" customHeight="1" x14ac:dyDescent="0.25">
      <c r="A27" s="188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R27" s="5"/>
    </row>
    <row r="28" spans="1:21" ht="20.100000000000001" customHeight="1" x14ac:dyDescent="0.25">
      <c r="A28" s="190"/>
      <c r="B28" s="336" t="s">
        <v>137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</row>
    <row r="29" spans="1:21" s="20" customFormat="1" ht="9.9499999999999993" customHeight="1" thickBot="1" x14ac:dyDescent="0.3">
      <c r="A29" s="188"/>
      <c r="B29" s="81"/>
      <c r="C29" s="81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Q29" s="105"/>
      <c r="R29" s="82"/>
      <c r="S29" s="83"/>
      <c r="T29" s="5"/>
    </row>
    <row r="30" spans="1:21" ht="20.100000000000001" customHeight="1" x14ac:dyDescent="0.25">
      <c r="A30" s="189"/>
      <c r="B30" s="290" t="s">
        <v>19</v>
      </c>
      <c r="C30" s="291"/>
      <c r="D30" s="14" t="s">
        <v>20</v>
      </c>
      <c r="E30" s="91" t="s">
        <v>21</v>
      </c>
      <c r="F30" s="92" t="s">
        <v>10</v>
      </c>
      <c r="G30" s="92" t="s">
        <v>9</v>
      </c>
      <c r="H30" s="73" t="s">
        <v>0</v>
      </c>
      <c r="I30" s="91" t="s">
        <v>111</v>
      </c>
      <c r="J30" s="91" t="s">
        <v>112</v>
      </c>
      <c r="K30" s="164" t="s">
        <v>113</v>
      </c>
      <c r="L30" s="84"/>
      <c r="M30" s="11" t="s">
        <v>1</v>
      </c>
      <c r="N30" s="11" t="s">
        <v>11</v>
      </c>
      <c r="O30" s="12" t="s">
        <v>12</v>
      </c>
      <c r="Q30" s="96" t="s">
        <v>18</v>
      </c>
      <c r="R30" s="101"/>
      <c r="S30" s="87" t="s">
        <v>4</v>
      </c>
      <c r="T30" s="11" t="s">
        <v>13</v>
      </c>
      <c r="U30" s="12" t="s">
        <v>29</v>
      </c>
    </row>
    <row r="31" spans="1:21" ht="20.100000000000001" customHeight="1" x14ac:dyDescent="0.25">
      <c r="A31" s="189" t="str">
        <f>IF(B28&lt;&gt;"","Тур","")</f>
        <v>Тур</v>
      </c>
      <c r="B31" s="308" t="s">
        <v>110</v>
      </c>
      <c r="C31" s="310">
        <v>1.2</v>
      </c>
      <c r="D31" s="15" t="s">
        <v>22</v>
      </c>
      <c r="E31" s="212">
        <f>H31*0.4</f>
        <v>23121.119999999999</v>
      </c>
      <c r="F31" s="212">
        <f>H31*0.6</f>
        <v>34681.679999999993</v>
      </c>
      <c r="G31" s="212">
        <f>H31*0.8</f>
        <v>46242.239999999998</v>
      </c>
      <c r="H31" s="213">
        <f>$M$2/COUNTIF($A$1:$A$9604,"Тур")*C31</f>
        <v>57802.799999999996</v>
      </c>
      <c r="I31" s="212">
        <f>H31*1.2</f>
        <v>69363.359999999986</v>
      </c>
      <c r="J31" s="212">
        <f>H31*1.4</f>
        <v>80923.919999999984</v>
      </c>
      <c r="K31" s="214">
        <f>H31*1.6</f>
        <v>92484.479999999996</v>
      </c>
      <c r="L31" s="84"/>
      <c r="M31" s="302">
        <f>ФактТурыМенеджер2</f>
        <v>17129</v>
      </c>
      <c r="N31" s="304">
        <f>IF(M31&lt;E31,0,INDEX(E30:K30,MATCH(M31,E31:K31,1)))</f>
        <v>0</v>
      </c>
      <c r="O31" s="306">
        <f>IF(M31&lt;E31,0,INDEX(E32:K32,1,MATCH(M31,E31:K31,1)))</f>
        <v>0</v>
      </c>
      <c r="Q31" s="98" t="str">
        <f>Настройки!$N$5</f>
        <v>Нашел ошибку или внес конструктивную идею по доработке сайта</v>
      </c>
      <c r="R31" s="102"/>
      <c r="S31" s="10">
        <v>0</v>
      </c>
      <c r="T31" s="215">
        <f>Настройки!$O$5</f>
        <v>100</v>
      </c>
      <c r="U31" s="216">
        <f t="shared" ref="U31" si="6">T31*S31</f>
        <v>0</v>
      </c>
    </row>
    <row r="32" spans="1:21" ht="20.100000000000001" customHeight="1" thickBot="1" x14ac:dyDescent="0.3">
      <c r="A32" s="189"/>
      <c r="B32" s="309"/>
      <c r="C32" s="311"/>
      <c r="D32" s="16" t="s">
        <v>97</v>
      </c>
      <c r="E32" s="217">
        <f>E31*БонусТуры1</f>
        <v>2312.1120000000001</v>
      </c>
      <c r="F32" s="217">
        <f>F31*БонусТуры2</f>
        <v>4161.8015999999989</v>
      </c>
      <c r="G32" s="217">
        <f>G31*БонусТуры3</f>
        <v>6473.9136000000008</v>
      </c>
      <c r="H32" s="218">
        <f>H31*БонусТуры4</f>
        <v>10404.503999999999</v>
      </c>
      <c r="I32" s="218">
        <f>I31*БонусТуры5</f>
        <v>13872.671999999999</v>
      </c>
      <c r="J32" s="217">
        <f>J31*БонусТуры6</f>
        <v>17803.262399999996</v>
      </c>
      <c r="K32" s="219">
        <f>K31*БонусТуры7</f>
        <v>23121.119999999999</v>
      </c>
      <c r="L32" s="84"/>
      <c r="M32" s="303"/>
      <c r="N32" s="305"/>
      <c r="O32" s="307"/>
      <c r="Q32" s="97" t="str">
        <f>Настройки!$N$6</f>
        <v>Добавил новую информацию на сайт или обновил существующую</v>
      </c>
      <c r="R32" s="103"/>
      <c r="S32" s="10">
        <v>0</v>
      </c>
      <c r="T32" s="215">
        <f>Настройки!$O$6</f>
        <v>300</v>
      </c>
      <c r="U32" s="226">
        <f t="shared" ref="U32:U37" si="7">T32*S32</f>
        <v>0</v>
      </c>
    </row>
    <row r="33" spans="1:21" ht="20.100000000000001" customHeight="1" x14ac:dyDescent="0.25">
      <c r="A33" s="189"/>
      <c r="B33" s="290" t="s">
        <v>95</v>
      </c>
      <c r="C33" s="291"/>
      <c r="D33" s="14" t="s">
        <v>20</v>
      </c>
      <c r="E33" s="91" t="s">
        <v>21</v>
      </c>
      <c r="F33" s="92" t="s">
        <v>10</v>
      </c>
      <c r="G33" s="92" t="s">
        <v>9</v>
      </c>
      <c r="H33" s="73" t="s">
        <v>0</v>
      </c>
      <c r="I33" s="91" t="s">
        <v>111</v>
      </c>
      <c r="J33" s="91" t="s">
        <v>112</v>
      </c>
      <c r="K33" s="164" t="s">
        <v>113</v>
      </c>
      <c r="L33" s="84"/>
      <c r="M33" s="11" t="s">
        <v>1</v>
      </c>
      <c r="N33" s="11" t="s">
        <v>11</v>
      </c>
      <c r="O33" s="12" t="s">
        <v>12</v>
      </c>
      <c r="Q33" s="97" t="str">
        <f>Настройки!$N$7</f>
        <v>Взял отзыв у клиента или рекомендацию у клиента</v>
      </c>
      <c r="R33" s="103"/>
      <c r="S33" s="10">
        <v>0</v>
      </c>
      <c r="T33" s="215">
        <f>Настройки!$O$7</f>
        <v>300</v>
      </c>
      <c r="U33" s="226">
        <f t="shared" si="7"/>
        <v>0</v>
      </c>
    </row>
    <row r="34" spans="1:21" ht="20.100000000000001" customHeight="1" x14ac:dyDescent="0.25">
      <c r="A34" s="189" t="str">
        <f>IF(B28&lt;&gt;"","Доп","")</f>
        <v>Доп</v>
      </c>
      <c r="B34" s="308" t="s">
        <v>110</v>
      </c>
      <c r="C34" s="310">
        <v>1</v>
      </c>
      <c r="D34" s="15" t="s">
        <v>22</v>
      </c>
      <c r="E34" s="212">
        <f>H34*0.4</f>
        <v>0</v>
      </c>
      <c r="F34" s="212">
        <f>H34*0.6</f>
        <v>0</v>
      </c>
      <c r="G34" s="212">
        <f>H34*0.8</f>
        <v>0</v>
      </c>
      <c r="H34" s="213">
        <f>$S$2/COUNTIF($A$1:$A$9604,"Доп")*C34</f>
        <v>0</v>
      </c>
      <c r="I34" s="212">
        <f>H34*1.2</f>
        <v>0</v>
      </c>
      <c r="J34" s="212">
        <f>H34*1.4</f>
        <v>0</v>
      </c>
      <c r="K34" s="214">
        <f>H34*1.6</f>
        <v>0</v>
      </c>
      <c r="L34" s="84"/>
      <c r="M34" s="302">
        <f>ФактДопыМенеджер2</f>
        <v>0</v>
      </c>
      <c r="N34" s="304" t="str">
        <f>IF(M34&lt;E34,0,INDEX(E33:K33,MATCH(M34,E34:K34,1)))</f>
        <v>МегаЦель</v>
      </c>
      <c r="O34" s="306">
        <f>IF(M34&lt;E34,0,INDEX(E35:K35,1,MATCH(M34,E34:K34,1)))</f>
        <v>0</v>
      </c>
      <c r="Q34" s="97" t="str">
        <f>Настройки!$N$8</f>
        <v>Выход на работу в выходной или праздничный день</v>
      </c>
      <c r="R34" s="103"/>
      <c r="S34" s="10">
        <v>0</v>
      </c>
      <c r="T34" s="215">
        <f>Настройки!$O$8</f>
        <v>500</v>
      </c>
      <c r="U34" s="226">
        <f t="shared" si="7"/>
        <v>0</v>
      </c>
    </row>
    <row r="35" spans="1:21" ht="20.100000000000001" customHeight="1" collapsed="1" thickBot="1" x14ac:dyDescent="0.3">
      <c r="A35" s="189"/>
      <c r="B35" s="309"/>
      <c r="C35" s="311"/>
      <c r="D35" s="16" t="s">
        <v>97</v>
      </c>
      <c r="E35" s="217">
        <f>E34*БонусДопы1</f>
        <v>0</v>
      </c>
      <c r="F35" s="217">
        <f>F34*БонусДопы2</f>
        <v>0</v>
      </c>
      <c r="G35" s="217">
        <f>G34*БонусДопы3</f>
        <v>0</v>
      </c>
      <c r="H35" s="218">
        <f>H34*БонусДопы4</f>
        <v>0</v>
      </c>
      <c r="I35" s="217">
        <f>I34*БонусДопы5</f>
        <v>0</v>
      </c>
      <c r="J35" s="217">
        <f>J34*БонусДопы6</f>
        <v>0</v>
      </c>
      <c r="K35" s="219">
        <f>K34*БонусДопы7</f>
        <v>0</v>
      </c>
      <c r="L35" s="84"/>
      <c r="M35" s="334"/>
      <c r="N35" s="335"/>
      <c r="O35" s="356"/>
      <c r="Q35" s="98" t="str">
        <f>Настройки!$N$9</f>
        <v>Заполнение полной информации об отеле в таблице отелей</v>
      </c>
      <c r="R35" s="104"/>
      <c r="S35" s="10">
        <v>0</v>
      </c>
      <c r="T35" s="215">
        <f>Настройки!$O$9</f>
        <v>100</v>
      </c>
      <c r="U35" s="226">
        <f t="shared" si="7"/>
        <v>0</v>
      </c>
    </row>
    <row r="36" spans="1:21" ht="20.100000000000001" hidden="1" customHeight="1" outlineLevel="1" x14ac:dyDescent="0.25">
      <c r="A36" s="189"/>
      <c r="B36" s="312" t="s">
        <v>28</v>
      </c>
      <c r="C36" s="313"/>
      <c r="D36" s="313"/>
      <c r="E36" s="313"/>
      <c r="F36" s="313"/>
      <c r="G36" s="313"/>
      <c r="H36" s="313"/>
      <c r="I36" s="313"/>
      <c r="J36" s="313"/>
      <c r="K36" s="324"/>
      <c r="M36" s="11" t="s">
        <v>1</v>
      </c>
      <c r="N36" s="11" t="s">
        <v>26</v>
      </c>
      <c r="O36" s="12" t="s">
        <v>12</v>
      </c>
      <c r="Q36" s="98" t="str">
        <f>Настройки!$N$10</f>
        <v>Подготовил презентацию или доклад по направлению</v>
      </c>
      <c r="R36" s="104"/>
      <c r="S36" s="10">
        <v>0</v>
      </c>
      <c r="T36" s="215">
        <f>Настройки!$O$10</f>
        <v>300</v>
      </c>
      <c r="U36" s="226">
        <f t="shared" si="7"/>
        <v>0</v>
      </c>
    </row>
    <row r="37" spans="1:21" ht="20.100000000000001" hidden="1" customHeight="1" outlineLevel="1" x14ac:dyDescent="0.25">
      <c r="A37" s="189"/>
      <c r="B37" s="292"/>
      <c r="C37" s="293"/>
      <c r="D37" s="293"/>
      <c r="E37" s="293"/>
      <c r="F37" s="293"/>
      <c r="G37" s="293"/>
      <c r="H37" s="293"/>
      <c r="I37" s="294"/>
      <c r="J37" s="13" t="s">
        <v>22</v>
      </c>
      <c r="K37" s="6"/>
      <c r="M37" s="317"/>
      <c r="N37" s="317"/>
      <c r="O37" s="306">
        <f>IF(M37&lt;N37,0,IF(M37&gt;=K37,K38,M37/K37*K38))</f>
        <v>0</v>
      </c>
      <c r="Q37" s="93" t="str">
        <f>Настройки!$N$11</f>
        <v>Подготовил выпуск рассылки</v>
      </c>
      <c r="R37" s="103"/>
      <c r="S37" s="6">
        <v>0</v>
      </c>
      <c r="T37" s="215">
        <f>Настройки!$O$11</f>
        <v>500</v>
      </c>
      <c r="U37" s="226">
        <f t="shared" si="7"/>
        <v>0</v>
      </c>
    </row>
    <row r="38" spans="1:21" ht="20.100000000000001" hidden="1" customHeight="1" outlineLevel="1" x14ac:dyDescent="0.25">
      <c r="A38" s="189"/>
      <c r="B38" s="295"/>
      <c r="C38" s="296"/>
      <c r="D38" s="296"/>
      <c r="E38" s="296"/>
      <c r="F38" s="296"/>
      <c r="G38" s="296"/>
      <c r="H38" s="296"/>
      <c r="I38" s="297"/>
      <c r="J38" s="227" t="s">
        <v>23</v>
      </c>
      <c r="K38" s="228"/>
      <c r="M38" s="318"/>
      <c r="N38" s="318"/>
      <c r="O38" s="325"/>
      <c r="Q38" s="109"/>
      <c r="R38" s="109"/>
      <c r="S38" s="17"/>
      <c r="T38" s="86"/>
      <c r="U38" s="17"/>
    </row>
    <row r="39" spans="1:21" ht="20.100000000000001" hidden="1" customHeight="1" outlineLevel="1" x14ac:dyDescent="0.25">
      <c r="A39" s="189"/>
      <c r="B39" s="292"/>
      <c r="C39" s="293"/>
      <c r="D39" s="293"/>
      <c r="E39" s="293"/>
      <c r="F39" s="293"/>
      <c r="G39" s="293"/>
      <c r="H39" s="293"/>
      <c r="I39" s="294"/>
      <c r="J39" s="13" t="s">
        <v>22</v>
      </c>
      <c r="K39" s="10"/>
      <c r="M39" s="317"/>
      <c r="N39" s="317"/>
      <c r="O39" s="314">
        <f t="shared" ref="O39" si="8">IF(M39&lt;N39,0,IF(M39&gt;=K39,K40,M39/K39*K40))</f>
        <v>0</v>
      </c>
      <c r="Q39" s="94" t="s">
        <v>24</v>
      </c>
      <c r="R39" s="101"/>
      <c r="S39" s="18" t="s">
        <v>4</v>
      </c>
      <c r="T39" s="19" t="s">
        <v>13</v>
      </c>
      <c r="U39" s="95" t="s">
        <v>29</v>
      </c>
    </row>
    <row r="40" spans="1:21" ht="20.100000000000001" hidden="1" customHeight="1" outlineLevel="1" x14ac:dyDescent="0.25">
      <c r="A40" s="189"/>
      <c r="B40" s="295"/>
      <c r="C40" s="296"/>
      <c r="D40" s="296"/>
      <c r="E40" s="296"/>
      <c r="F40" s="296"/>
      <c r="G40" s="296"/>
      <c r="H40" s="296"/>
      <c r="I40" s="297"/>
      <c r="J40" s="227" t="s">
        <v>23</v>
      </c>
      <c r="K40" s="229"/>
      <c r="M40" s="318"/>
      <c r="N40" s="318"/>
      <c r="O40" s="314"/>
      <c r="Q40" s="99" t="str">
        <f>Настройки!$K$5</f>
        <v>Опоздал на работу</v>
      </c>
      <c r="R40" s="101"/>
      <c r="S40" s="76">
        <v>0</v>
      </c>
      <c r="T40" s="215">
        <f>Настройки!$L$5</f>
        <v>250</v>
      </c>
      <c r="U40" s="226">
        <f t="shared" ref="U40:U46" si="9">T40*S40</f>
        <v>0</v>
      </c>
    </row>
    <row r="41" spans="1:21" ht="20.100000000000001" hidden="1" customHeight="1" outlineLevel="1" x14ac:dyDescent="0.25">
      <c r="A41" s="189"/>
      <c r="B41" s="292"/>
      <c r="C41" s="293"/>
      <c r="D41" s="293"/>
      <c r="E41" s="293"/>
      <c r="F41" s="293"/>
      <c r="G41" s="293"/>
      <c r="H41" s="293"/>
      <c r="I41" s="294"/>
      <c r="J41" s="13" t="s">
        <v>22</v>
      </c>
      <c r="K41" s="10"/>
      <c r="M41" s="317"/>
      <c r="N41" s="317"/>
      <c r="O41" s="314">
        <f t="shared" ref="O41" si="10">IF(M41&lt;N41,0,IF(M41&gt;=K41,K42,M41/K41*K42))</f>
        <v>0</v>
      </c>
      <c r="Q41" s="99" t="str">
        <f>Настройки!$K$6</f>
        <v>Опоздал на работу не предупредив об этом по телефону</v>
      </c>
      <c r="R41" s="101"/>
      <c r="S41" s="76">
        <v>0</v>
      </c>
      <c r="T41" s="215">
        <f>Настройки!$L$6</f>
        <v>300</v>
      </c>
      <c r="U41" s="226">
        <f t="shared" si="9"/>
        <v>0</v>
      </c>
    </row>
    <row r="42" spans="1:21" ht="20.100000000000001" hidden="1" customHeight="1" outlineLevel="1" x14ac:dyDescent="0.25">
      <c r="A42" s="189"/>
      <c r="B42" s="295"/>
      <c r="C42" s="296"/>
      <c r="D42" s="296"/>
      <c r="E42" s="296"/>
      <c r="F42" s="296"/>
      <c r="G42" s="296"/>
      <c r="H42" s="296"/>
      <c r="I42" s="297"/>
      <c r="J42" s="227" t="s">
        <v>23</v>
      </c>
      <c r="K42" s="229"/>
      <c r="M42" s="318"/>
      <c r="N42" s="318"/>
      <c r="O42" s="314"/>
      <c r="Q42" s="99" t="str">
        <f>Настройки!$K$7</f>
        <v>Негативный отзыв клиента о работе менеджера</v>
      </c>
      <c r="R42" s="102"/>
      <c r="S42" s="77">
        <v>0</v>
      </c>
      <c r="T42" s="215">
        <f>Настройки!$L$7</f>
        <v>400</v>
      </c>
      <c r="U42" s="226">
        <f t="shared" si="9"/>
        <v>0</v>
      </c>
    </row>
    <row r="43" spans="1:21" ht="20.100000000000001" hidden="1" customHeight="1" outlineLevel="1" x14ac:dyDescent="0.25">
      <c r="A43" s="189"/>
      <c r="B43" s="292"/>
      <c r="C43" s="293"/>
      <c r="D43" s="293"/>
      <c r="E43" s="293"/>
      <c r="F43" s="293"/>
      <c r="G43" s="293"/>
      <c r="H43" s="293"/>
      <c r="I43" s="294"/>
      <c r="J43" s="13" t="s">
        <v>22</v>
      </c>
      <c r="K43" s="10"/>
      <c r="M43" s="317"/>
      <c r="N43" s="317"/>
      <c r="O43" s="314">
        <f t="shared" ref="O43" si="11">IF(M43&lt;N43,0,IF(M43&gt;=K43,K44,M43/K43*K44))</f>
        <v>0</v>
      </c>
      <c r="Q43" s="99" t="str">
        <f>Настройки!$K$8</f>
        <v>Допущенна ошибка в договоре с туристом</v>
      </c>
      <c r="R43" s="103"/>
      <c r="S43" s="78">
        <v>0</v>
      </c>
      <c r="T43" s="215">
        <f>Настройки!$L$8</f>
        <v>500</v>
      </c>
      <c r="U43" s="226">
        <f t="shared" si="9"/>
        <v>0</v>
      </c>
    </row>
    <row r="44" spans="1:21" ht="20.100000000000001" hidden="1" customHeight="1" outlineLevel="1" x14ac:dyDescent="0.25">
      <c r="A44" s="189"/>
      <c r="B44" s="295"/>
      <c r="C44" s="296"/>
      <c r="D44" s="296"/>
      <c r="E44" s="296"/>
      <c r="F44" s="296"/>
      <c r="G44" s="296"/>
      <c r="H44" s="296"/>
      <c r="I44" s="297"/>
      <c r="J44" s="227" t="s">
        <v>23</v>
      </c>
      <c r="K44" s="229"/>
      <c r="M44" s="318"/>
      <c r="N44" s="318"/>
      <c r="O44" s="314"/>
      <c r="Q44" s="100" t="str">
        <f>Настройки!$K$9</f>
        <v>Не внесена информация о взаимодействии с клиентом в CRM</v>
      </c>
      <c r="R44" s="103"/>
      <c r="S44" s="76">
        <v>0</v>
      </c>
      <c r="T44" s="215">
        <f>Настройки!$L$9</f>
        <v>250</v>
      </c>
      <c r="U44" s="226">
        <f t="shared" si="9"/>
        <v>0</v>
      </c>
    </row>
    <row r="45" spans="1:21" ht="20.100000000000001" hidden="1" customHeight="1" outlineLevel="1" x14ac:dyDescent="0.25">
      <c r="A45" s="189"/>
      <c r="B45" s="292"/>
      <c r="C45" s="293"/>
      <c r="D45" s="293"/>
      <c r="E45" s="293"/>
      <c r="F45" s="293"/>
      <c r="G45" s="293"/>
      <c r="H45" s="293"/>
      <c r="I45" s="294"/>
      <c r="J45" s="13" t="s">
        <v>22</v>
      </c>
      <c r="K45" s="10"/>
      <c r="M45" s="317"/>
      <c r="N45" s="317"/>
      <c r="O45" s="314">
        <f t="shared" ref="O45" si="12">IF(M45&lt;N45,0,IF(M45&gt;=K45,K46,M45/K45*K46))</f>
        <v>0</v>
      </c>
      <c r="Q45" s="100" t="str">
        <f>Настройки!$K$10</f>
        <v>Не знание рекламных акций турагентства</v>
      </c>
      <c r="R45" s="103"/>
      <c r="S45" s="76">
        <v>0</v>
      </c>
      <c r="T45" s="215">
        <f>Настройки!$L$10</f>
        <v>250</v>
      </c>
      <c r="U45" s="226">
        <f t="shared" si="9"/>
        <v>0</v>
      </c>
    </row>
    <row r="46" spans="1:21" ht="20.100000000000001" hidden="1" customHeight="1" outlineLevel="1" thickBot="1" x14ac:dyDescent="0.3">
      <c r="A46" s="189"/>
      <c r="B46" s="321"/>
      <c r="C46" s="322"/>
      <c r="D46" s="322"/>
      <c r="E46" s="322"/>
      <c r="F46" s="322"/>
      <c r="G46" s="322"/>
      <c r="H46" s="322"/>
      <c r="I46" s="323"/>
      <c r="J46" s="230" t="s">
        <v>23</v>
      </c>
      <c r="K46" s="231"/>
      <c r="M46" s="355"/>
      <c r="N46" s="355"/>
      <c r="O46" s="342"/>
      <c r="Q46" s="110" t="str">
        <f>Настройки!$K$11</f>
        <v>В CRM указан не корректный источник рекламы</v>
      </c>
      <c r="R46" s="104"/>
      <c r="S46" s="79">
        <v>0</v>
      </c>
      <c r="T46" s="215">
        <f>Настройки!$L$11</f>
        <v>250</v>
      </c>
      <c r="U46" s="232">
        <f t="shared" si="9"/>
        <v>0</v>
      </c>
    </row>
    <row r="47" spans="1:21" ht="20.100000000000001" customHeight="1" x14ac:dyDescent="0.25">
      <c r="A47" s="189"/>
      <c r="B47" s="345" t="s">
        <v>45</v>
      </c>
      <c r="C47" s="346"/>
      <c r="D47" s="346"/>
      <c r="E47" s="346"/>
      <c r="F47" s="346"/>
      <c r="G47" s="346"/>
      <c r="H47" s="346"/>
      <c r="I47" s="347"/>
      <c r="J47" s="351">
        <v>16000</v>
      </c>
      <c r="K47" s="352"/>
      <c r="L47" s="84"/>
      <c r="M47" s="330" t="s">
        <v>27</v>
      </c>
      <c r="N47" s="331"/>
      <c r="O47" s="315">
        <f>SUM(J47,O31,IFERROR(O34,0),O37:O46,S47)</f>
        <v>16000</v>
      </c>
      <c r="Q47" s="343" t="s">
        <v>44</v>
      </c>
      <c r="R47" s="104"/>
      <c r="S47" s="337">
        <f>SUM(U31:U37)-SUM(U39:U46)</f>
        <v>0</v>
      </c>
      <c r="T47" s="338"/>
      <c r="U47" s="339"/>
    </row>
    <row r="48" spans="1:21" ht="20.100000000000001" customHeight="1" thickBot="1" x14ac:dyDescent="0.3">
      <c r="A48" s="189"/>
      <c r="B48" s="348"/>
      <c r="C48" s="349"/>
      <c r="D48" s="349"/>
      <c r="E48" s="349"/>
      <c r="F48" s="349"/>
      <c r="G48" s="349"/>
      <c r="H48" s="349"/>
      <c r="I48" s="350"/>
      <c r="J48" s="353"/>
      <c r="K48" s="354"/>
      <c r="L48" s="84"/>
      <c r="M48" s="332"/>
      <c r="N48" s="333"/>
      <c r="O48" s="316"/>
      <c r="Q48" s="344"/>
      <c r="R48" s="103"/>
      <c r="S48" s="340"/>
      <c r="T48" s="341"/>
      <c r="U48" s="342"/>
    </row>
  </sheetData>
  <mergeCells count="86">
    <mergeCell ref="Q47:Q48"/>
    <mergeCell ref="S47:U48"/>
    <mergeCell ref="B39:I40"/>
    <mergeCell ref="N39:N40"/>
    <mergeCell ref="O47:O48"/>
    <mergeCell ref="B41:I42"/>
    <mergeCell ref="M41:M42"/>
    <mergeCell ref="N41:N42"/>
    <mergeCell ref="M43:M44"/>
    <mergeCell ref="N43:N44"/>
    <mergeCell ref="O43:O44"/>
    <mergeCell ref="B47:I48"/>
    <mergeCell ref="J47:K48"/>
    <mergeCell ref="B33:C33"/>
    <mergeCell ref="M34:M35"/>
    <mergeCell ref="O41:O42"/>
    <mergeCell ref="N34:N35"/>
    <mergeCell ref="O34:O35"/>
    <mergeCell ref="B45:I46"/>
    <mergeCell ref="M45:M46"/>
    <mergeCell ref="N45:N46"/>
    <mergeCell ref="O45:O46"/>
    <mergeCell ref="B43:I44"/>
    <mergeCell ref="O12:O13"/>
    <mergeCell ref="M31:M32"/>
    <mergeCell ref="N31:N32"/>
    <mergeCell ref="O31:O32"/>
    <mergeCell ref="M47:N48"/>
    <mergeCell ref="S25:U26"/>
    <mergeCell ref="Q25:Q26"/>
    <mergeCell ref="B25:I26"/>
    <mergeCell ref="J25:K26"/>
    <mergeCell ref="M15:M16"/>
    <mergeCell ref="N15:N16"/>
    <mergeCell ref="O15:O16"/>
    <mergeCell ref="N23:N24"/>
    <mergeCell ref="O23:O24"/>
    <mergeCell ref="M21:M22"/>
    <mergeCell ref="N21:N22"/>
    <mergeCell ref="O21:O22"/>
    <mergeCell ref="M19:M20"/>
    <mergeCell ref="S2:U2"/>
    <mergeCell ref="E2:K2"/>
    <mergeCell ref="B30:C30"/>
    <mergeCell ref="B31:B32"/>
    <mergeCell ref="C31:C32"/>
    <mergeCell ref="N19:N20"/>
    <mergeCell ref="O19:O20"/>
    <mergeCell ref="M17:M18"/>
    <mergeCell ref="M25:N26"/>
    <mergeCell ref="B12:B13"/>
    <mergeCell ref="C12:C13"/>
    <mergeCell ref="Q4:U4"/>
    <mergeCell ref="M2:O2"/>
    <mergeCell ref="B8:C8"/>
    <mergeCell ref="M12:M13"/>
    <mergeCell ref="N12:N13"/>
    <mergeCell ref="B34:B35"/>
    <mergeCell ref="C34:C35"/>
    <mergeCell ref="B14:K14"/>
    <mergeCell ref="O39:O40"/>
    <mergeCell ref="O25:O26"/>
    <mergeCell ref="M39:M40"/>
    <mergeCell ref="M23:M24"/>
    <mergeCell ref="N17:N18"/>
    <mergeCell ref="O17:O18"/>
    <mergeCell ref="B23:I24"/>
    <mergeCell ref="B36:K36"/>
    <mergeCell ref="B37:I38"/>
    <mergeCell ref="M37:M38"/>
    <mergeCell ref="N37:N38"/>
    <mergeCell ref="O37:O38"/>
    <mergeCell ref="B28:U28"/>
    <mergeCell ref="C2:D2"/>
    <mergeCell ref="B4:O4"/>
    <mergeCell ref="M9:M10"/>
    <mergeCell ref="N9:N10"/>
    <mergeCell ref="O9:O10"/>
    <mergeCell ref="B9:B10"/>
    <mergeCell ref="C9:C10"/>
    <mergeCell ref="B6:U6"/>
    <mergeCell ref="B11:C11"/>
    <mergeCell ref="B15:I16"/>
    <mergeCell ref="B17:I18"/>
    <mergeCell ref="B19:I20"/>
    <mergeCell ref="B21:I22"/>
  </mergeCells>
  <conditionalFormatting sqref="S25:U26">
    <cfRule type="cellIs" dxfId="27" priority="298" operator="lessThan">
      <formula>0</formula>
    </cfRule>
    <cfRule type="cellIs" dxfId="26" priority="299" operator="greaterThan">
      <formula>0</formula>
    </cfRule>
  </conditionalFormatting>
  <conditionalFormatting sqref="S9:S15">
    <cfRule type="colorScale" priority="899">
      <colorScale>
        <cfvo type="min"/>
        <cfvo type="max"/>
        <color rgb="FFFCFCFF"/>
        <color rgb="FF63BE7B"/>
      </colorScale>
    </cfRule>
  </conditionalFormatting>
  <conditionalFormatting sqref="U9:U15">
    <cfRule type="colorScale" priority="901">
      <colorScale>
        <cfvo type="min"/>
        <cfvo type="max"/>
        <color rgb="FFFCFCFF"/>
        <color rgb="FF63BE7B"/>
      </colorScale>
    </cfRule>
  </conditionalFormatting>
  <conditionalFormatting sqref="S18:S24">
    <cfRule type="colorScale" priority="910">
      <colorScale>
        <cfvo type="min"/>
        <cfvo type="max"/>
        <color rgb="FFFCFCFF"/>
        <color rgb="FFF8696B"/>
      </colorScale>
    </cfRule>
  </conditionalFormatting>
  <conditionalFormatting sqref="U18:U24">
    <cfRule type="colorScale" priority="912">
      <colorScale>
        <cfvo type="min"/>
        <cfvo type="max"/>
        <color rgb="FFFCFCFF"/>
        <color rgb="FFF8696B"/>
      </colorScale>
    </cfRule>
  </conditionalFormatting>
  <conditionalFormatting sqref="S32:S37">
    <cfRule type="colorScale" priority="180">
      <colorScale>
        <cfvo type="min"/>
        <cfvo type="max"/>
        <color rgb="FFFCFCFF"/>
        <color rgb="FF63BE7B"/>
      </colorScale>
    </cfRule>
  </conditionalFormatting>
  <conditionalFormatting sqref="U32:U37">
    <cfRule type="colorScale" priority="181">
      <colorScale>
        <cfvo type="min"/>
        <cfvo type="max"/>
        <color rgb="FFFCFCFF"/>
        <color rgb="FF63BE7B"/>
      </colorScale>
    </cfRule>
  </conditionalFormatting>
  <conditionalFormatting sqref="S40:S46">
    <cfRule type="colorScale" priority="182">
      <colorScale>
        <cfvo type="min"/>
        <cfvo type="max"/>
        <color rgb="FFFCFCFF"/>
        <color rgb="FFF8696B"/>
      </colorScale>
    </cfRule>
  </conditionalFormatting>
  <conditionalFormatting sqref="U40:U46">
    <cfRule type="colorScale" priority="183">
      <colorScale>
        <cfvo type="min"/>
        <cfvo type="max"/>
        <color rgb="FFFCFCFF"/>
        <color rgb="FFF8696B"/>
      </colorScale>
    </cfRule>
  </conditionalFormatting>
  <conditionalFormatting sqref="S47:U48">
    <cfRule type="cellIs" dxfId="25" priority="178" operator="lessThan">
      <formula>0</formula>
    </cfRule>
    <cfRule type="cellIs" dxfId="24" priority="179" operator="greaterThan">
      <formula>0</formula>
    </cfRule>
  </conditionalFormatting>
  <conditionalFormatting sqref="S31">
    <cfRule type="colorScale" priority="170">
      <colorScale>
        <cfvo type="min"/>
        <cfvo type="max"/>
        <color rgb="FFFCFCFF"/>
        <color rgb="FF63BE7B"/>
      </colorScale>
    </cfRule>
  </conditionalFormatting>
  <conditionalFormatting sqref="U31">
    <cfRule type="colorScale" priority="171">
      <colorScale>
        <cfvo type="min"/>
        <cfvo type="max"/>
        <color rgb="FFFCFCFF"/>
        <color rgb="FF63BE7B"/>
      </colorScale>
    </cfRule>
  </conditionalFormatting>
  <conditionalFormatting sqref="S31:S37">
    <cfRule type="colorScale" priority="167">
      <colorScale>
        <cfvo type="min"/>
        <cfvo type="max"/>
        <color rgb="FFFCFCFF"/>
        <color rgb="FF63BE7B"/>
      </colorScale>
    </cfRule>
  </conditionalFormatting>
  <conditionalFormatting sqref="U31:U37">
    <cfRule type="colorScale" priority="166">
      <colorScale>
        <cfvo type="min"/>
        <cfvo type="max"/>
        <color rgb="FFFCFCFF"/>
        <color rgb="FF63BE7B"/>
      </colorScale>
    </cfRule>
  </conditionalFormatting>
  <conditionalFormatting sqref="B4:O4">
    <cfRule type="cellIs" dxfId="23" priority="165" operator="notEqual">
      <formula>"Распределение плана продаж и расчет ЗП"</formula>
    </cfRule>
  </conditionalFormatting>
  <conditionalFormatting sqref="E9:K9">
    <cfRule type="cellIs" dxfId="22" priority="44" operator="lessThanOrEqual">
      <formula>$M9</formula>
    </cfRule>
  </conditionalFormatting>
  <conditionalFormatting sqref="E12:K12">
    <cfRule type="cellIs" dxfId="21" priority="43" operator="lessThanOrEqual">
      <formula>$M12</formula>
    </cfRule>
  </conditionalFormatting>
  <conditionalFormatting sqref="E31:K31">
    <cfRule type="cellIs" dxfId="20" priority="38" operator="lessThanOrEqual">
      <formula>$M31</formula>
    </cfRule>
  </conditionalFormatting>
  <conditionalFormatting sqref="E34:K34">
    <cfRule type="cellIs" dxfId="19" priority="37" operator="lessThanOrEqual">
      <formula>$M34</formula>
    </cfRule>
  </conditionalFormatting>
  <dataValidations count="2">
    <dataValidation type="list" allowBlank="1" showInputMessage="1" showErrorMessage="1" sqref="C2:D2">
      <formula1>"Январь,Февраль,Март,Апрель,Май,Июнь,Июль,Август,Сентябрь,Октябрь,Ноябрь,Декабрь"</formula1>
    </dataValidation>
    <dataValidation type="list" allowBlank="1" showInputMessage="1" sqref="C9:C10 C12:C13 C31:C32 C34:C35">
      <formula1>"50%,60%,70%,80%,90%,100%,110%,120%,130%,140%,150%"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O76"/>
  <sheetViews>
    <sheetView showGridLines="0" workbookViewId="0">
      <selection activeCell="I21" sqref="I21"/>
    </sheetView>
  </sheetViews>
  <sheetFormatPr defaultColWidth="11" defaultRowHeight="15.75" x14ac:dyDescent="0.25"/>
  <cols>
    <col min="1" max="1" width="3.875" customWidth="1"/>
    <col min="2" max="2" width="26.625" customWidth="1"/>
    <col min="3" max="3" width="8.375" customWidth="1"/>
    <col min="4" max="4" width="1.625" customWidth="1"/>
    <col min="5" max="6" width="21.625" customWidth="1"/>
    <col min="7" max="7" width="1.625" customWidth="1"/>
    <col min="8" max="9" width="21.625" customWidth="1"/>
    <col min="10" max="10" width="1.625" customWidth="1"/>
    <col min="11" max="11" width="58.375" customWidth="1"/>
    <col min="12" max="12" width="8.375" customWidth="1"/>
    <col min="13" max="13" width="1.625" customWidth="1"/>
    <col min="14" max="14" width="58.375" customWidth="1"/>
    <col min="15" max="15" width="8.375" customWidth="1"/>
  </cols>
  <sheetData>
    <row r="1" spans="2:15" ht="16.5" thickBot="1" x14ac:dyDescent="0.3"/>
    <row r="2" spans="2:15" ht="21.75" thickBot="1" x14ac:dyDescent="0.3">
      <c r="B2" s="358" t="s">
        <v>57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0"/>
    </row>
    <row r="3" spans="2:15" x14ac:dyDescent="0.25">
      <c r="N3" s="23"/>
    </row>
    <row r="4" spans="2:15" x14ac:dyDescent="0.25">
      <c r="B4" s="114" t="s">
        <v>58</v>
      </c>
      <c r="C4" s="114" t="s">
        <v>59</v>
      </c>
      <c r="D4" s="106"/>
      <c r="E4" s="117" t="s">
        <v>99</v>
      </c>
      <c r="F4" s="117" t="s">
        <v>98</v>
      </c>
      <c r="G4" s="41"/>
      <c r="H4" s="117" t="s">
        <v>104</v>
      </c>
      <c r="I4" s="117" t="s">
        <v>98</v>
      </c>
      <c r="J4" s="41"/>
      <c r="K4" s="118" t="s">
        <v>24</v>
      </c>
      <c r="L4" s="114" t="s">
        <v>60</v>
      </c>
      <c r="M4" s="41"/>
      <c r="N4" s="118" t="s">
        <v>18</v>
      </c>
      <c r="O4" s="114" t="s">
        <v>48</v>
      </c>
    </row>
    <row r="5" spans="2:15" x14ac:dyDescent="0.25">
      <c r="B5" s="123" t="s">
        <v>100</v>
      </c>
      <c r="C5" s="124">
        <v>0.15</v>
      </c>
      <c r="D5" s="108"/>
      <c r="E5" s="119" t="s">
        <v>21</v>
      </c>
      <c r="F5" s="121">
        <v>0.1</v>
      </c>
      <c r="H5" s="119" t="s">
        <v>21</v>
      </c>
      <c r="I5" s="121">
        <v>0.1</v>
      </c>
      <c r="K5" s="125" t="s">
        <v>37</v>
      </c>
      <c r="L5" s="233">
        <v>250</v>
      </c>
      <c r="N5" s="125" t="s">
        <v>30</v>
      </c>
      <c r="O5" s="233">
        <v>100</v>
      </c>
    </row>
    <row r="6" spans="2:15" x14ac:dyDescent="0.25">
      <c r="B6" s="123" t="s">
        <v>101</v>
      </c>
      <c r="C6" s="124">
        <v>0.22</v>
      </c>
      <c r="D6" s="108"/>
      <c r="E6" s="119" t="s">
        <v>10</v>
      </c>
      <c r="F6" s="121">
        <v>0.12</v>
      </c>
      <c r="H6" s="119" t="s">
        <v>10</v>
      </c>
      <c r="I6" s="121">
        <v>0.12</v>
      </c>
      <c r="K6" s="123" t="s">
        <v>38</v>
      </c>
      <c r="L6" s="234">
        <v>300</v>
      </c>
      <c r="N6" s="123" t="s">
        <v>31</v>
      </c>
      <c r="O6" s="234">
        <v>300</v>
      </c>
    </row>
    <row r="7" spans="2:15" x14ac:dyDescent="0.25">
      <c r="B7" s="123" t="s">
        <v>102</v>
      </c>
      <c r="C7" s="124">
        <v>0.25</v>
      </c>
      <c r="D7" s="108"/>
      <c r="E7" s="119" t="s">
        <v>9</v>
      </c>
      <c r="F7" s="121">
        <v>0.14000000000000001</v>
      </c>
      <c r="H7" s="119" t="s">
        <v>9</v>
      </c>
      <c r="I7" s="121">
        <v>0.14000000000000001</v>
      </c>
      <c r="K7" s="123" t="s">
        <v>39</v>
      </c>
      <c r="L7" s="234">
        <v>400</v>
      </c>
      <c r="N7" s="123" t="s">
        <v>32</v>
      </c>
      <c r="O7" s="234">
        <v>300</v>
      </c>
    </row>
    <row r="8" spans="2:15" x14ac:dyDescent="0.25">
      <c r="B8" s="123" t="s">
        <v>103</v>
      </c>
      <c r="C8" s="124">
        <v>0.3</v>
      </c>
      <c r="D8" s="108"/>
      <c r="E8" s="120" t="s">
        <v>0</v>
      </c>
      <c r="F8" s="122">
        <v>0.18</v>
      </c>
      <c r="H8" s="120" t="s">
        <v>0</v>
      </c>
      <c r="I8" s="122">
        <v>0.18</v>
      </c>
      <c r="K8" s="123" t="s">
        <v>40</v>
      </c>
      <c r="L8" s="234">
        <v>500</v>
      </c>
      <c r="N8" s="123" t="s">
        <v>33</v>
      </c>
      <c r="O8" s="234">
        <v>500</v>
      </c>
    </row>
    <row r="9" spans="2:15" x14ac:dyDescent="0.25">
      <c r="B9" s="123" t="s">
        <v>61</v>
      </c>
      <c r="C9" s="124">
        <v>0.3</v>
      </c>
      <c r="D9" s="108"/>
      <c r="E9" s="119" t="s">
        <v>111</v>
      </c>
      <c r="F9" s="121">
        <v>0.2</v>
      </c>
      <c r="H9" s="119" t="s">
        <v>111</v>
      </c>
      <c r="I9" s="121">
        <v>0.2</v>
      </c>
      <c r="K9" s="123" t="s">
        <v>41</v>
      </c>
      <c r="L9" s="234">
        <v>250</v>
      </c>
      <c r="N9" s="123" t="s">
        <v>34</v>
      </c>
      <c r="O9" s="234">
        <v>100</v>
      </c>
    </row>
    <row r="10" spans="2:15" x14ac:dyDescent="0.25">
      <c r="B10" s="123" t="s">
        <v>62</v>
      </c>
      <c r="C10" s="124">
        <v>0.42</v>
      </c>
      <c r="D10" s="107"/>
      <c r="E10" s="119" t="s">
        <v>112</v>
      </c>
      <c r="F10" s="121">
        <v>0.22</v>
      </c>
      <c r="H10" s="119" t="s">
        <v>112</v>
      </c>
      <c r="I10" s="121">
        <v>0.22</v>
      </c>
      <c r="K10" s="126" t="s">
        <v>42</v>
      </c>
      <c r="L10" s="234">
        <v>250</v>
      </c>
      <c r="N10" s="126" t="s">
        <v>35</v>
      </c>
      <c r="O10" s="234">
        <v>300</v>
      </c>
    </row>
    <row r="11" spans="2:15" x14ac:dyDescent="0.25">
      <c r="B11" s="123" t="s">
        <v>63</v>
      </c>
      <c r="C11" s="124">
        <v>0.55000000000000004</v>
      </c>
      <c r="D11" s="107"/>
      <c r="E11" s="119" t="s">
        <v>113</v>
      </c>
      <c r="F11" s="121">
        <v>0.25</v>
      </c>
      <c r="H11" s="119" t="s">
        <v>113</v>
      </c>
      <c r="I11" s="121">
        <v>0.25</v>
      </c>
      <c r="K11" s="126" t="s">
        <v>43</v>
      </c>
      <c r="L11" s="234">
        <v>250</v>
      </c>
      <c r="N11" s="126" t="s">
        <v>36</v>
      </c>
      <c r="O11" s="234">
        <v>500</v>
      </c>
    </row>
    <row r="12" spans="2:15" ht="16.5" thickBot="1" x14ac:dyDescent="0.3"/>
    <row r="13" spans="2:15" ht="21.75" thickBot="1" x14ac:dyDescent="0.3">
      <c r="B13" s="358" t="s">
        <v>65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60"/>
    </row>
    <row r="15" spans="2:15" x14ac:dyDescent="0.25">
      <c r="B15" s="114" t="s">
        <v>66</v>
      </c>
      <c r="C15" s="361" t="s">
        <v>105</v>
      </c>
      <c r="D15" s="361"/>
      <c r="E15" s="361"/>
      <c r="F15" s="158" t="s">
        <v>79</v>
      </c>
      <c r="G15" s="191">
        <f ca="1">IF(TODAY()&gt;lastDayCurrentMonth,1,
IF(TODAY()&lt;firstDayCurrentMonth,0,
DAY(TODAY())/CurrentMonthDays))</f>
        <v>0.87096774193548387</v>
      </c>
      <c r="H15" s="114" t="s">
        <v>106</v>
      </c>
      <c r="I15" s="127">
        <v>6900</v>
      </c>
      <c r="J15" s="106"/>
      <c r="M15" s="1"/>
      <c r="N15" s="111"/>
      <c r="O15" s="111"/>
    </row>
    <row r="16" spans="2:15" x14ac:dyDescent="0.25">
      <c r="B16" s="115" t="s">
        <v>67</v>
      </c>
      <c r="C16" s="357">
        <v>31</v>
      </c>
      <c r="D16" s="357"/>
      <c r="E16" s="357"/>
      <c r="F16" s="165">
        <v>43101</v>
      </c>
      <c r="G16" s="191">
        <f>INDEX(C16:C63,MATCH(DATE(planYear,MATCH(current_month,B16:B63,0),1),F16:F63,0))</f>
        <v>31</v>
      </c>
      <c r="H16" s="362" t="s">
        <v>107</v>
      </c>
      <c r="I16" s="362"/>
      <c r="J16" s="112"/>
      <c r="M16" s="1"/>
      <c r="N16" s="107"/>
      <c r="O16" s="107"/>
    </row>
    <row r="17" spans="2:15" x14ac:dyDescent="0.25">
      <c r="B17" s="115" t="s">
        <v>68</v>
      </c>
      <c r="C17" s="357">
        <v>28</v>
      </c>
      <c r="D17" s="357"/>
      <c r="E17" s="357"/>
      <c r="F17" s="165">
        <v>43132</v>
      </c>
      <c r="G17" s="191" t="str">
        <f>INDEX(B65:B76,MATCH(current_month,B16:B27,0))</f>
        <v>Января</v>
      </c>
      <c r="H17" s="112"/>
      <c r="I17" s="112"/>
      <c r="J17" s="112"/>
      <c r="M17" s="1"/>
      <c r="N17" s="107"/>
      <c r="O17" s="107"/>
    </row>
    <row r="18" spans="2:15" x14ac:dyDescent="0.25">
      <c r="B18" s="115" t="s">
        <v>69</v>
      </c>
      <c r="C18" s="357">
        <v>31</v>
      </c>
      <c r="D18" s="357"/>
      <c r="E18" s="357"/>
      <c r="F18" s="165">
        <v>43160</v>
      </c>
      <c r="G18" s="191">
        <f>DATE(planYear,MATCH(current_month,B16:B63,0),1)</f>
        <v>43466</v>
      </c>
      <c r="H18" s="158" t="s">
        <v>133</v>
      </c>
      <c r="I18" s="177">
        <v>2019</v>
      </c>
      <c r="J18" s="112"/>
      <c r="M18" s="1"/>
      <c r="N18" s="107"/>
      <c r="O18" s="107"/>
    </row>
    <row r="19" spans="2:15" x14ac:dyDescent="0.25">
      <c r="B19" s="115" t="s">
        <v>70</v>
      </c>
      <c r="C19" s="357">
        <v>30</v>
      </c>
      <c r="D19" s="357"/>
      <c r="E19" s="357"/>
      <c r="F19" s="165">
        <v>43191</v>
      </c>
      <c r="G19" s="191">
        <f>EDATE(firstDayCurrentMonth,1)-1</f>
        <v>43496</v>
      </c>
      <c r="H19" s="112"/>
      <c r="I19" s="112"/>
      <c r="J19" s="112"/>
      <c r="M19" s="1"/>
      <c r="N19" s="113"/>
      <c r="O19" s="113"/>
    </row>
    <row r="20" spans="2:15" x14ac:dyDescent="0.25">
      <c r="B20" s="115" t="s">
        <v>71</v>
      </c>
      <c r="C20" s="357">
        <v>31</v>
      </c>
      <c r="D20" s="357"/>
      <c r="E20" s="357"/>
      <c r="F20" s="165">
        <v>43221</v>
      </c>
      <c r="G20" s="178"/>
      <c r="H20" s="156"/>
      <c r="I20" s="112"/>
      <c r="J20" s="112"/>
      <c r="M20" s="1"/>
      <c r="N20" s="107"/>
      <c r="O20" s="107"/>
    </row>
    <row r="21" spans="2:15" x14ac:dyDescent="0.25">
      <c r="B21" s="115" t="s">
        <v>72</v>
      </c>
      <c r="C21" s="357">
        <v>31</v>
      </c>
      <c r="D21" s="357"/>
      <c r="E21" s="357"/>
      <c r="F21" s="165">
        <v>43252</v>
      </c>
      <c r="G21" s="178"/>
      <c r="H21" s="156"/>
      <c r="I21" s="157"/>
      <c r="J21" s="112"/>
      <c r="M21" s="1"/>
      <c r="N21" s="107"/>
      <c r="O21" s="107"/>
    </row>
    <row r="22" spans="2:15" x14ac:dyDescent="0.25">
      <c r="B22" s="115" t="s">
        <v>73</v>
      </c>
      <c r="C22" s="357">
        <v>30</v>
      </c>
      <c r="D22" s="357"/>
      <c r="E22" s="357"/>
      <c r="F22" s="116">
        <v>43282</v>
      </c>
      <c r="G22" s="168"/>
      <c r="H22" s="156"/>
      <c r="I22" s="112"/>
      <c r="J22" s="112"/>
      <c r="M22" s="1"/>
      <c r="N22" s="107"/>
      <c r="O22" s="107"/>
    </row>
    <row r="23" spans="2:15" x14ac:dyDescent="0.25">
      <c r="B23" s="115" t="s">
        <v>74</v>
      </c>
      <c r="C23" s="357">
        <v>31</v>
      </c>
      <c r="D23" s="357"/>
      <c r="E23" s="357"/>
      <c r="F23" s="116">
        <v>43313</v>
      </c>
      <c r="G23" s="168"/>
      <c r="H23" s="112"/>
      <c r="I23" s="112"/>
      <c r="J23" s="112"/>
      <c r="M23" s="1"/>
      <c r="N23" s="1"/>
      <c r="O23" s="1"/>
    </row>
    <row r="24" spans="2:15" x14ac:dyDescent="0.25">
      <c r="B24" s="115" t="s">
        <v>75</v>
      </c>
      <c r="C24" s="357">
        <v>30</v>
      </c>
      <c r="D24" s="357"/>
      <c r="E24" s="357"/>
      <c r="F24" s="116">
        <v>43344</v>
      </c>
      <c r="G24" s="168"/>
      <c r="H24" s="112"/>
      <c r="I24" s="112"/>
      <c r="J24" s="112"/>
      <c r="K24" s="363"/>
      <c r="L24" s="363"/>
      <c r="M24" s="1"/>
      <c r="N24" s="1"/>
      <c r="O24" s="1"/>
    </row>
    <row r="25" spans="2:15" x14ac:dyDescent="0.25">
      <c r="B25" s="115" t="s">
        <v>76</v>
      </c>
      <c r="C25" s="357">
        <v>31</v>
      </c>
      <c r="D25" s="357"/>
      <c r="E25" s="357"/>
      <c r="F25" s="116">
        <v>43374</v>
      </c>
      <c r="G25" s="168"/>
      <c r="H25" s="112"/>
      <c r="I25" s="112"/>
      <c r="J25" s="112"/>
      <c r="K25" s="364"/>
      <c r="L25" s="364"/>
      <c r="M25" s="1"/>
      <c r="N25" s="1"/>
      <c r="O25" s="1"/>
    </row>
    <row r="26" spans="2:15" x14ac:dyDescent="0.25">
      <c r="B26" s="115" t="s">
        <v>64</v>
      </c>
      <c r="C26" s="357">
        <v>30</v>
      </c>
      <c r="D26" s="357"/>
      <c r="E26" s="357"/>
      <c r="F26" s="116">
        <v>43405</v>
      </c>
      <c r="G26" s="168"/>
      <c r="H26" s="112"/>
      <c r="I26" s="112"/>
      <c r="J26" s="112"/>
      <c r="K26" s="363"/>
      <c r="L26" s="363"/>
      <c r="M26" s="1"/>
      <c r="N26" s="1"/>
      <c r="O26" s="1"/>
    </row>
    <row r="27" spans="2:15" x14ac:dyDescent="0.25">
      <c r="B27" s="115" t="s">
        <v>77</v>
      </c>
      <c r="C27" s="357">
        <v>31</v>
      </c>
      <c r="D27" s="357"/>
      <c r="E27" s="357"/>
      <c r="F27" s="116">
        <v>43435</v>
      </c>
      <c r="G27" s="168"/>
      <c r="H27" s="112"/>
      <c r="I27" s="112"/>
      <c r="J27" s="112"/>
      <c r="K27" s="363"/>
      <c r="L27" s="363"/>
      <c r="M27" s="1"/>
      <c r="N27" s="1"/>
      <c r="O27" s="1"/>
    </row>
    <row r="28" spans="2:15" x14ac:dyDescent="0.25">
      <c r="B28" s="115" t="s">
        <v>67</v>
      </c>
      <c r="C28" s="357">
        <v>31</v>
      </c>
      <c r="D28" s="357"/>
      <c r="E28" s="357"/>
      <c r="F28" s="165">
        <v>43466</v>
      </c>
      <c r="G28" s="168"/>
      <c r="H28" s="156"/>
      <c r="I28" s="156"/>
      <c r="J28" s="156"/>
      <c r="K28" s="155"/>
      <c r="L28" s="155"/>
      <c r="M28" s="1"/>
      <c r="N28" s="1"/>
      <c r="O28" s="1"/>
    </row>
    <row r="29" spans="2:15" x14ac:dyDescent="0.25">
      <c r="B29" s="115" t="s">
        <v>68</v>
      </c>
      <c r="C29" s="357">
        <v>28</v>
      </c>
      <c r="D29" s="357"/>
      <c r="E29" s="357"/>
      <c r="F29" s="165">
        <v>43497</v>
      </c>
      <c r="G29" s="168"/>
      <c r="H29" s="156"/>
      <c r="I29" s="156"/>
      <c r="J29" s="156"/>
      <c r="K29" s="155"/>
      <c r="L29" s="155"/>
      <c r="M29" s="1"/>
      <c r="N29" s="1"/>
      <c r="O29" s="1"/>
    </row>
    <row r="30" spans="2:15" x14ac:dyDescent="0.25">
      <c r="B30" s="115" t="s">
        <v>69</v>
      </c>
      <c r="C30" s="357">
        <v>31</v>
      </c>
      <c r="D30" s="357"/>
      <c r="E30" s="357"/>
      <c r="F30" s="165">
        <v>43525</v>
      </c>
      <c r="G30" s="168"/>
      <c r="H30" s="156"/>
      <c r="I30" s="156"/>
      <c r="J30" s="156"/>
      <c r="K30" s="155"/>
      <c r="L30" s="155"/>
      <c r="M30" s="1"/>
      <c r="N30" s="1"/>
      <c r="O30" s="1"/>
    </row>
    <row r="31" spans="2:15" x14ac:dyDescent="0.25">
      <c r="B31" s="115" t="s">
        <v>70</v>
      </c>
      <c r="C31" s="357">
        <v>30</v>
      </c>
      <c r="D31" s="357"/>
      <c r="E31" s="357"/>
      <c r="F31" s="165">
        <v>43556</v>
      </c>
      <c r="G31" s="168"/>
      <c r="H31" s="156"/>
      <c r="I31" s="156"/>
      <c r="J31" s="156"/>
      <c r="K31" s="155"/>
      <c r="L31" s="155"/>
      <c r="M31" s="1"/>
      <c r="N31" s="1"/>
      <c r="O31" s="1"/>
    </row>
    <row r="32" spans="2:15" x14ac:dyDescent="0.25">
      <c r="B32" s="115" t="s">
        <v>71</v>
      </c>
      <c r="C32" s="357">
        <v>31</v>
      </c>
      <c r="D32" s="357"/>
      <c r="E32" s="357"/>
      <c r="F32" s="165">
        <v>43586</v>
      </c>
      <c r="G32" s="168"/>
      <c r="H32" s="156"/>
      <c r="I32" s="156"/>
      <c r="J32" s="156"/>
      <c r="K32" s="155"/>
      <c r="L32" s="155"/>
      <c r="M32" s="1"/>
      <c r="N32" s="1"/>
      <c r="O32" s="1"/>
    </row>
    <row r="33" spans="2:15" x14ac:dyDescent="0.25">
      <c r="B33" s="115" t="s">
        <v>72</v>
      </c>
      <c r="C33" s="357">
        <v>31</v>
      </c>
      <c r="D33" s="357"/>
      <c r="E33" s="357"/>
      <c r="F33" s="165">
        <v>43617</v>
      </c>
      <c r="G33" s="168"/>
      <c r="H33" s="156"/>
      <c r="I33" s="156"/>
      <c r="J33" s="156"/>
      <c r="K33" s="155"/>
      <c r="L33" s="155"/>
      <c r="M33" s="1"/>
      <c r="N33" s="1"/>
      <c r="O33" s="1"/>
    </row>
    <row r="34" spans="2:15" x14ac:dyDescent="0.25">
      <c r="B34" s="115" t="s">
        <v>73</v>
      </c>
      <c r="C34" s="357">
        <v>30</v>
      </c>
      <c r="D34" s="357"/>
      <c r="E34" s="357"/>
      <c r="F34" s="165">
        <v>43647</v>
      </c>
      <c r="G34" s="168"/>
      <c r="H34" s="156"/>
      <c r="I34" s="156"/>
      <c r="J34" s="156"/>
      <c r="K34" s="155"/>
      <c r="L34" s="155"/>
      <c r="M34" s="1"/>
      <c r="N34" s="1"/>
      <c r="O34" s="1"/>
    </row>
    <row r="35" spans="2:15" x14ac:dyDescent="0.25">
      <c r="B35" s="115" t="s">
        <v>74</v>
      </c>
      <c r="C35" s="357">
        <v>31</v>
      </c>
      <c r="D35" s="357"/>
      <c r="E35" s="357"/>
      <c r="F35" s="165">
        <v>43678</v>
      </c>
      <c r="G35" s="168"/>
      <c r="H35" s="156"/>
      <c r="I35" s="156"/>
      <c r="J35" s="156"/>
      <c r="K35" s="155"/>
      <c r="L35" s="155"/>
      <c r="M35" s="1"/>
      <c r="N35" s="1"/>
      <c r="O35" s="1"/>
    </row>
    <row r="36" spans="2:15" x14ac:dyDescent="0.25">
      <c r="B36" s="115" t="s">
        <v>75</v>
      </c>
      <c r="C36" s="357">
        <v>30</v>
      </c>
      <c r="D36" s="357"/>
      <c r="E36" s="357"/>
      <c r="F36" s="165">
        <v>43709</v>
      </c>
      <c r="G36" s="168"/>
      <c r="H36" s="156"/>
      <c r="I36" s="156"/>
      <c r="J36" s="156"/>
      <c r="K36" s="155"/>
      <c r="L36" s="155"/>
      <c r="M36" s="1"/>
      <c r="N36" s="1"/>
      <c r="O36" s="1"/>
    </row>
    <row r="37" spans="2:15" x14ac:dyDescent="0.25">
      <c r="B37" s="115" t="s">
        <v>76</v>
      </c>
      <c r="C37" s="357">
        <v>31</v>
      </c>
      <c r="D37" s="357"/>
      <c r="E37" s="357"/>
      <c r="F37" s="165">
        <v>43739</v>
      </c>
      <c r="G37" s="168"/>
      <c r="H37" s="156"/>
      <c r="I37" s="156"/>
      <c r="J37" s="156"/>
      <c r="K37" s="155"/>
      <c r="L37" s="155"/>
      <c r="M37" s="1"/>
      <c r="N37" s="1"/>
      <c r="O37" s="1"/>
    </row>
    <row r="38" spans="2:15" x14ac:dyDescent="0.25">
      <c r="B38" s="115" t="s">
        <v>64</v>
      </c>
      <c r="C38" s="357">
        <v>30</v>
      </c>
      <c r="D38" s="357"/>
      <c r="E38" s="357"/>
      <c r="F38" s="165">
        <v>43770</v>
      </c>
      <c r="G38" s="168"/>
      <c r="H38" s="156"/>
      <c r="I38" s="156"/>
      <c r="J38" s="156"/>
      <c r="K38" s="155"/>
      <c r="L38" s="155"/>
      <c r="M38" s="1"/>
      <c r="N38" s="1"/>
      <c r="O38" s="1"/>
    </row>
    <row r="39" spans="2:15" x14ac:dyDescent="0.25">
      <c r="B39" s="115" t="s">
        <v>77</v>
      </c>
      <c r="C39" s="357">
        <v>31</v>
      </c>
      <c r="D39" s="357"/>
      <c r="E39" s="357"/>
      <c r="F39" s="165">
        <v>43800</v>
      </c>
      <c r="G39" s="168"/>
      <c r="H39" s="156"/>
      <c r="I39" s="156"/>
      <c r="J39" s="156"/>
      <c r="K39" s="155"/>
      <c r="L39" s="155"/>
      <c r="M39" s="1"/>
      <c r="N39" s="1"/>
      <c r="O39" s="1"/>
    </row>
    <row r="40" spans="2:15" x14ac:dyDescent="0.25">
      <c r="B40" s="115" t="s">
        <v>67</v>
      </c>
      <c r="C40" s="357">
        <v>31</v>
      </c>
      <c r="D40" s="357"/>
      <c r="E40" s="357"/>
      <c r="F40" s="165">
        <v>43831</v>
      </c>
      <c r="G40" s="168"/>
      <c r="H40" s="156"/>
      <c r="I40" s="156"/>
      <c r="J40" s="156"/>
      <c r="K40" s="155"/>
      <c r="L40" s="155"/>
      <c r="M40" s="1"/>
      <c r="N40" s="1"/>
      <c r="O40" s="1"/>
    </row>
    <row r="41" spans="2:15" x14ac:dyDescent="0.25">
      <c r="B41" s="115" t="s">
        <v>68</v>
      </c>
      <c r="C41" s="357">
        <v>29</v>
      </c>
      <c r="D41" s="357"/>
      <c r="E41" s="357"/>
      <c r="F41" s="165">
        <v>43862</v>
      </c>
      <c r="G41" s="168"/>
      <c r="H41" s="156"/>
      <c r="I41" s="156"/>
      <c r="J41" s="156"/>
      <c r="K41" s="155"/>
      <c r="L41" s="155"/>
      <c r="M41" s="1"/>
      <c r="N41" s="1"/>
      <c r="O41" s="1"/>
    </row>
    <row r="42" spans="2:15" x14ac:dyDescent="0.25">
      <c r="B42" s="115" t="s">
        <v>69</v>
      </c>
      <c r="C42" s="357">
        <v>31</v>
      </c>
      <c r="D42" s="357"/>
      <c r="E42" s="357"/>
      <c r="F42" s="165">
        <v>43891</v>
      </c>
      <c r="G42" s="168"/>
      <c r="H42" s="156"/>
      <c r="I42" s="156"/>
      <c r="J42" s="156"/>
      <c r="K42" s="155"/>
      <c r="L42" s="155"/>
      <c r="M42" s="1"/>
      <c r="N42" s="1"/>
      <c r="O42" s="1"/>
    </row>
    <row r="43" spans="2:15" x14ac:dyDescent="0.25">
      <c r="B43" s="115" t="s">
        <v>70</v>
      </c>
      <c r="C43" s="357">
        <v>30</v>
      </c>
      <c r="D43" s="357"/>
      <c r="E43" s="357"/>
      <c r="F43" s="165">
        <v>43922</v>
      </c>
      <c r="G43" s="168"/>
      <c r="H43" s="156"/>
      <c r="I43" s="156"/>
      <c r="J43" s="156"/>
      <c r="K43" s="155"/>
      <c r="L43" s="155"/>
      <c r="M43" s="1"/>
      <c r="N43" s="1"/>
      <c r="O43" s="1"/>
    </row>
    <row r="44" spans="2:15" x14ac:dyDescent="0.25">
      <c r="B44" s="115" t="s">
        <v>71</v>
      </c>
      <c r="C44" s="357">
        <v>31</v>
      </c>
      <c r="D44" s="357"/>
      <c r="E44" s="357"/>
      <c r="F44" s="165">
        <v>43952</v>
      </c>
      <c r="G44" s="168"/>
      <c r="H44" s="156"/>
      <c r="I44" s="156"/>
      <c r="J44" s="156"/>
      <c r="K44" s="155"/>
      <c r="L44" s="155"/>
      <c r="M44" s="1"/>
      <c r="N44" s="1"/>
      <c r="O44" s="1"/>
    </row>
    <row r="45" spans="2:15" x14ac:dyDescent="0.25">
      <c r="B45" s="115" t="s">
        <v>72</v>
      </c>
      <c r="C45" s="357">
        <v>31</v>
      </c>
      <c r="D45" s="357"/>
      <c r="E45" s="357"/>
      <c r="F45" s="165">
        <v>43983</v>
      </c>
      <c r="G45" s="168"/>
      <c r="H45" s="107"/>
      <c r="I45" s="107"/>
      <c r="J45" s="107"/>
    </row>
    <row r="46" spans="2:15" x14ac:dyDescent="0.25">
      <c r="B46" s="115" t="s">
        <v>73</v>
      </c>
      <c r="C46" s="357">
        <v>30</v>
      </c>
      <c r="D46" s="357"/>
      <c r="E46" s="357"/>
      <c r="F46" s="165">
        <v>44013</v>
      </c>
      <c r="G46" s="168"/>
    </row>
    <row r="47" spans="2:15" x14ac:dyDescent="0.25">
      <c r="B47" s="115" t="s">
        <v>74</v>
      </c>
      <c r="C47" s="357">
        <v>31</v>
      </c>
      <c r="D47" s="357"/>
      <c r="E47" s="357"/>
      <c r="F47" s="165">
        <v>44044</v>
      </c>
      <c r="G47" s="168"/>
    </row>
    <row r="48" spans="2:15" x14ac:dyDescent="0.25">
      <c r="B48" s="115" t="s">
        <v>75</v>
      </c>
      <c r="C48" s="357">
        <v>30</v>
      </c>
      <c r="D48" s="357"/>
      <c r="E48" s="357"/>
      <c r="F48" s="165">
        <v>44075</v>
      </c>
      <c r="G48" s="168"/>
    </row>
    <row r="49" spans="2:7" x14ac:dyDescent="0.25">
      <c r="B49" s="115" t="s">
        <v>76</v>
      </c>
      <c r="C49" s="357">
        <v>31</v>
      </c>
      <c r="D49" s="357"/>
      <c r="E49" s="357"/>
      <c r="F49" s="165">
        <v>44105</v>
      </c>
      <c r="G49" s="168"/>
    </row>
    <row r="50" spans="2:7" x14ac:dyDescent="0.25">
      <c r="B50" s="115" t="s">
        <v>64</v>
      </c>
      <c r="C50" s="357">
        <v>30</v>
      </c>
      <c r="D50" s="357"/>
      <c r="E50" s="357"/>
      <c r="F50" s="165">
        <v>44136</v>
      </c>
      <c r="G50" s="168"/>
    </row>
    <row r="51" spans="2:7" x14ac:dyDescent="0.25">
      <c r="B51" s="115" t="s">
        <v>77</v>
      </c>
      <c r="C51" s="357">
        <v>31</v>
      </c>
      <c r="D51" s="357"/>
      <c r="E51" s="357"/>
      <c r="F51" s="165">
        <v>44166</v>
      </c>
      <c r="G51" s="168"/>
    </row>
    <row r="52" spans="2:7" x14ac:dyDescent="0.25">
      <c r="B52" s="115" t="s">
        <v>67</v>
      </c>
      <c r="C52" s="357">
        <v>31</v>
      </c>
      <c r="D52" s="357"/>
      <c r="E52" s="357"/>
      <c r="F52" s="165">
        <v>44197</v>
      </c>
      <c r="G52" s="168"/>
    </row>
    <row r="53" spans="2:7" x14ac:dyDescent="0.25">
      <c r="B53" s="115" t="s">
        <v>68</v>
      </c>
      <c r="C53" s="357">
        <v>28</v>
      </c>
      <c r="D53" s="357"/>
      <c r="E53" s="357"/>
      <c r="F53" s="165">
        <v>44228</v>
      </c>
      <c r="G53" s="168"/>
    </row>
    <row r="54" spans="2:7" x14ac:dyDescent="0.25">
      <c r="B54" s="115" t="s">
        <v>69</v>
      </c>
      <c r="C54" s="357">
        <v>31</v>
      </c>
      <c r="D54" s="357"/>
      <c r="E54" s="357"/>
      <c r="F54" s="165">
        <v>44256</v>
      </c>
      <c r="G54" s="168"/>
    </row>
    <row r="55" spans="2:7" x14ac:dyDescent="0.25">
      <c r="B55" s="115" t="s">
        <v>70</v>
      </c>
      <c r="C55" s="357">
        <v>30</v>
      </c>
      <c r="D55" s="357"/>
      <c r="E55" s="357"/>
      <c r="F55" s="165">
        <v>44287</v>
      </c>
      <c r="G55" s="168"/>
    </row>
    <row r="56" spans="2:7" x14ac:dyDescent="0.25">
      <c r="B56" s="115" t="s">
        <v>71</v>
      </c>
      <c r="C56" s="357">
        <v>31</v>
      </c>
      <c r="D56" s="357"/>
      <c r="E56" s="357"/>
      <c r="F56" s="165">
        <v>44317</v>
      </c>
      <c r="G56" s="168"/>
    </row>
    <row r="57" spans="2:7" x14ac:dyDescent="0.25">
      <c r="B57" s="115" t="s">
        <v>72</v>
      </c>
      <c r="C57" s="357">
        <v>31</v>
      </c>
      <c r="D57" s="357"/>
      <c r="E57" s="357"/>
      <c r="F57" s="165">
        <v>44348</v>
      </c>
      <c r="G57" s="168"/>
    </row>
    <row r="58" spans="2:7" x14ac:dyDescent="0.25">
      <c r="B58" s="115" t="s">
        <v>73</v>
      </c>
      <c r="C58" s="357">
        <v>30</v>
      </c>
      <c r="D58" s="357"/>
      <c r="E58" s="357"/>
      <c r="F58" s="165">
        <v>44378</v>
      </c>
      <c r="G58" s="168"/>
    </row>
    <row r="59" spans="2:7" x14ac:dyDescent="0.25">
      <c r="B59" s="115" t="s">
        <v>74</v>
      </c>
      <c r="C59" s="357">
        <v>31</v>
      </c>
      <c r="D59" s="357"/>
      <c r="E59" s="357"/>
      <c r="F59" s="165">
        <v>44409</v>
      </c>
      <c r="G59" s="168"/>
    </row>
    <row r="60" spans="2:7" x14ac:dyDescent="0.25">
      <c r="B60" s="115" t="s">
        <v>75</v>
      </c>
      <c r="C60" s="357">
        <v>30</v>
      </c>
      <c r="D60" s="357"/>
      <c r="E60" s="357"/>
      <c r="F60" s="165">
        <v>44440</v>
      </c>
      <c r="G60" s="168"/>
    </row>
    <row r="61" spans="2:7" x14ac:dyDescent="0.25">
      <c r="B61" s="115" t="s">
        <v>76</v>
      </c>
      <c r="C61" s="357">
        <v>31</v>
      </c>
      <c r="D61" s="357"/>
      <c r="E61" s="357"/>
      <c r="F61" s="165">
        <v>44470</v>
      </c>
      <c r="G61" s="168"/>
    </row>
    <row r="62" spans="2:7" x14ac:dyDescent="0.25">
      <c r="B62" s="115" t="s">
        <v>64</v>
      </c>
      <c r="C62" s="357">
        <v>30</v>
      </c>
      <c r="D62" s="357"/>
      <c r="E62" s="357"/>
      <c r="F62" s="165">
        <v>44501</v>
      </c>
      <c r="G62" s="168"/>
    </row>
    <row r="63" spans="2:7" x14ac:dyDescent="0.25">
      <c r="B63" s="115" t="s">
        <v>77</v>
      </c>
      <c r="C63" s="357">
        <v>31</v>
      </c>
      <c r="D63" s="357"/>
      <c r="E63" s="357"/>
      <c r="F63" s="165">
        <v>44531</v>
      </c>
      <c r="G63" s="168"/>
    </row>
    <row r="65" spans="2:2" x14ac:dyDescent="0.25">
      <c r="B65" s="115" t="s">
        <v>116</v>
      </c>
    </row>
    <row r="66" spans="2:2" x14ac:dyDescent="0.25">
      <c r="B66" s="115" t="s">
        <v>117</v>
      </c>
    </row>
    <row r="67" spans="2:2" x14ac:dyDescent="0.25">
      <c r="B67" s="115" t="s">
        <v>118</v>
      </c>
    </row>
    <row r="68" spans="2:2" x14ac:dyDescent="0.25">
      <c r="B68" s="115" t="s">
        <v>119</v>
      </c>
    </row>
    <row r="69" spans="2:2" x14ac:dyDescent="0.25">
      <c r="B69" s="115" t="s">
        <v>120</v>
      </c>
    </row>
    <row r="70" spans="2:2" x14ac:dyDescent="0.25">
      <c r="B70" s="115" t="s">
        <v>121</v>
      </c>
    </row>
    <row r="71" spans="2:2" x14ac:dyDescent="0.25">
      <c r="B71" s="115" t="s">
        <v>122</v>
      </c>
    </row>
    <row r="72" spans="2:2" x14ac:dyDescent="0.25">
      <c r="B72" s="115" t="s">
        <v>123</v>
      </c>
    </row>
    <row r="73" spans="2:2" x14ac:dyDescent="0.25">
      <c r="B73" s="115" t="s">
        <v>124</v>
      </c>
    </row>
    <row r="74" spans="2:2" x14ac:dyDescent="0.25">
      <c r="B74" s="115" t="s">
        <v>125</v>
      </c>
    </row>
    <row r="75" spans="2:2" x14ac:dyDescent="0.25">
      <c r="B75" s="115" t="s">
        <v>126</v>
      </c>
    </row>
    <row r="76" spans="2:2" x14ac:dyDescent="0.25">
      <c r="B76" s="115" t="s">
        <v>127</v>
      </c>
    </row>
  </sheetData>
  <mergeCells count="56">
    <mergeCell ref="K24:L24"/>
    <mergeCell ref="K25:L25"/>
    <mergeCell ref="K26:L26"/>
    <mergeCell ref="K27:L27"/>
    <mergeCell ref="C26:E26"/>
    <mergeCell ref="C27:E27"/>
    <mergeCell ref="C45:E45"/>
    <mergeCell ref="C22:E22"/>
    <mergeCell ref="C23:E23"/>
    <mergeCell ref="C24:E24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18:E18"/>
    <mergeCell ref="C19:E19"/>
    <mergeCell ref="C25:E25"/>
    <mergeCell ref="C20:E20"/>
    <mergeCell ref="C21:E21"/>
    <mergeCell ref="B2:O2"/>
    <mergeCell ref="B13:O13"/>
    <mergeCell ref="C15:E15"/>
    <mergeCell ref="C16:E16"/>
    <mergeCell ref="C17:E17"/>
    <mergeCell ref="H16:I16"/>
    <mergeCell ref="C40:E40"/>
    <mergeCell ref="C41:E41"/>
    <mergeCell ref="C42:E42"/>
    <mergeCell ref="C43:E43"/>
    <mergeCell ref="C44:E44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61:E61"/>
    <mergeCell ref="C62:E62"/>
    <mergeCell ref="C63:E63"/>
    <mergeCell ref="C56:E56"/>
    <mergeCell ref="C57:E57"/>
    <mergeCell ref="C58:E58"/>
    <mergeCell ref="C59:E59"/>
    <mergeCell ref="C60:E6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I32"/>
  <sheetViews>
    <sheetView showGridLines="0" topLeftCell="A4" workbookViewId="0">
      <selection activeCell="D24" sqref="D24"/>
    </sheetView>
  </sheetViews>
  <sheetFormatPr defaultColWidth="8.875" defaultRowHeight="15.75" x14ac:dyDescent="0.25"/>
  <cols>
    <col min="1" max="1" width="10.5" customWidth="1"/>
    <col min="2" max="2" width="24.375" customWidth="1"/>
    <col min="3" max="34" width="9" customWidth="1"/>
  </cols>
  <sheetData>
    <row r="1" spans="1:34" x14ac:dyDescent="0.25">
      <c r="A1" t="s">
        <v>88</v>
      </c>
    </row>
    <row r="2" spans="1:34" x14ac:dyDescent="0.25">
      <c r="A2" t="s">
        <v>81</v>
      </c>
      <c r="B2" s="68">
        <v>0.25</v>
      </c>
    </row>
    <row r="3" spans="1:34" x14ac:dyDescent="0.25">
      <c r="B3" s="71"/>
    </row>
    <row r="4" spans="1:34" ht="18.75" customHeight="1" x14ac:dyDescent="0.25">
      <c r="A4" s="7" t="s">
        <v>1</v>
      </c>
      <c r="B4" s="59">
        <f ca="1">Факт_туры</f>
        <v>41292</v>
      </c>
      <c r="D4" s="7" t="s">
        <v>1</v>
      </c>
      <c r="E4" s="59">
        <f ca="1">Факт_туры</f>
        <v>41292</v>
      </c>
      <c r="G4" s="7" t="s">
        <v>1</v>
      </c>
      <c r="H4" s="59">
        <f ca="1">Факт_допы</f>
        <v>0</v>
      </c>
    </row>
    <row r="5" spans="1:34" ht="18.75" customHeight="1" x14ac:dyDescent="0.25">
      <c r="A5" s="7" t="s">
        <v>5</v>
      </c>
      <c r="B5" s="59">
        <f ca="1">IF(Факт_туры&gt;ПланТуры,0,ПланТуры-Факт_туры)</f>
        <v>55046</v>
      </c>
      <c r="D5" s="7" t="s">
        <v>5</v>
      </c>
      <c r="E5" s="59">
        <f ca="1">IF(Факт_туры&gt;IFERROR(ПланТуры*НарастающийИтогДоля,0),0,IFERROR(ПланТуры*НарастающийИтогДоля,0)-Факт_туры)</f>
        <v>42615.290322580651</v>
      </c>
      <c r="G5" s="7" t="s">
        <v>5</v>
      </c>
      <c r="H5" s="59">
        <f ca="1">IF(Факт_допы&gt;ПланДопы,0,ПланДопы-Факт_допы)</f>
        <v>0</v>
      </c>
    </row>
    <row r="6" spans="1:34" x14ac:dyDescent="0.25">
      <c r="A6" s="7" t="s">
        <v>81</v>
      </c>
      <c r="B6" s="59">
        <f ca="1">IF(Факт_туры&gt;ПланТуры*(1+B2),0,ПланТуры*(1+B2)-ПланТуры)</f>
        <v>24084.5</v>
      </c>
      <c r="D6" s="7" t="s">
        <v>81</v>
      </c>
      <c r="E6" s="59">
        <f ca="1">IF(Факт_туры&gt;IFERROR(ПланТуры*НарастающийИтогДоля,0)*(1+B2),0,IFERROR(ПланТуры*НарастающийИтогДоля,0)*(1+B2)-IFERROR(ПланТуры*НарастающийИтогДоля,0))</f>
        <v>20976.822580645166</v>
      </c>
      <c r="G6" s="7" t="s">
        <v>81</v>
      </c>
      <c r="H6" s="59">
        <f ca="1">IF(Факт_допы&gt;ПланДопы*(1+B2),0,ПланДопы*(1+B2)-ПланДопы)</f>
        <v>0</v>
      </c>
    </row>
    <row r="8" spans="1:34" x14ac:dyDescent="0.25">
      <c r="A8" s="7" t="s">
        <v>134</v>
      </c>
      <c r="B8">
        <f ca="1">SUMIF(INDIRECT("Фактеризация!$C$1:$C$999"),"Прибыль по турам",INDIRECT("Фактеризация!$AI$1:$AI$999"))</f>
        <v>41292</v>
      </c>
    </row>
    <row r="9" spans="1:34" x14ac:dyDescent="0.25">
      <c r="A9" s="7" t="s">
        <v>135</v>
      </c>
      <c r="B9">
        <f ca="1">SUMIF(INDIRECT("Фактеризация!$C$1:$C$999"),"Прибыль по допам",INDIRECT("Фактеризация!$AI$1:$AI$999"))</f>
        <v>0</v>
      </c>
    </row>
    <row r="10" spans="1:34" ht="16.5" thickBot="1" x14ac:dyDescent="0.3">
      <c r="A10" t="s">
        <v>86</v>
      </c>
    </row>
    <row r="11" spans="1:34" ht="16.5" thickBot="1" x14ac:dyDescent="0.3">
      <c r="A11" s="45"/>
      <c r="B11" s="45"/>
      <c r="C11" s="45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3" t="s">
        <v>17</v>
      </c>
    </row>
    <row r="12" spans="1:34" ht="16.5" thickBot="1" x14ac:dyDescent="0.3">
      <c r="A12" s="63"/>
      <c r="B12" s="64"/>
      <c r="C12" s="65">
        <v>1</v>
      </c>
      <c r="D12" s="65">
        <v>1</v>
      </c>
      <c r="E12" s="65">
        <v>1</v>
      </c>
      <c r="F12" s="65">
        <v>1</v>
      </c>
      <c r="G12" s="65">
        <v>1</v>
      </c>
      <c r="H12" s="65">
        <v>1</v>
      </c>
      <c r="I12" s="65">
        <v>1</v>
      </c>
      <c r="J12" s="65">
        <v>1</v>
      </c>
      <c r="K12" s="65">
        <v>1</v>
      </c>
      <c r="L12" s="65">
        <v>1</v>
      </c>
      <c r="M12" s="65">
        <v>1</v>
      </c>
      <c r="N12" s="65">
        <v>1</v>
      </c>
      <c r="O12" s="65">
        <v>1</v>
      </c>
      <c r="P12" s="65">
        <v>1</v>
      </c>
      <c r="Q12" s="65">
        <v>1</v>
      </c>
      <c r="R12" s="65">
        <v>1</v>
      </c>
      <c r="S12" s="65">
        <v>1</v>
      </c>
      <c r="T12" s="65">
        <v>1</v>
      </c>
      <c r="U12" s="65">
        <v>1</v>
      </c>
      <c r="V12" s="65">
        <v>1</v>
      </c>
      <c r="W12" s="65">
        <v>1</v>
      </c>
      <c r="X12" s="65">
        <v>1</v>
      </c>
      <c r="Y12" s="65">
        <v>1</v>
      </c>
      <c r="Z12" s="65">
        <v>1</v>
      </c>
      <c r="AA12" s="65">
        <v>1</v>
      </c>
      <c r="AB12" s="65">
        <v>1</v>
      </c>
      <c r="AC12" s="65">
        <v>1</v>
      </c>
      <c r="AD12" s="65">
        <v>1</v>
      </c>
      <c r="AE12" s="65">
        <f>IF(INDEX(Настройки!$C$16:$C$27,MATCH(current_month,Настройки!$B$16:$B$27,0))&gt;=AE11,1,0)</f>
        <v>1</v>
      </c>
      <c r="AF12" s="65">
        <f>IF(INDEX(Настройки!$C$16:$C$27,MATCH(current_month,Настройки!$B$16:$B$27,0))&gt;=AF11,1,0)</f>
        <v>1</v>
      </c>
      <c r="AG12" s="65">
        <f>IF(INDEX(Настройки!$C$16:$C$27,MATCH(current_month,Настройки!$B$16:$B$27,0))&gt;=AG11,1,0)</f>
        <v>1</v>
      </c>
    </row>
    <row r="13" spans="1:34" ht="24.95" customHeight="1" collapsed="1" x14ac:dyDescent="0.25">
      <c r="A13" s="365" t="s">
        <v>82</v>
      </c>
      <c r="B13" s="62" t="s">
        <v>83</v>
      </c>
      <c r="C13" s="60">
        <f t="shared" ref="C13:AG13" si="0">IF(C$11&lt;=CurrentMonthDays, ПланТуры/CurrentMonthDays,0)</f>
        <v>3107.6774193548385</v>
      </c>
      <c r="D13" s="60">
        <f t="shared" si="0"/>
        <v>3107.6774193548385</v>
      </c>
      <c r="E13" s="60">
        <f t="shared" si="0"/>
        <v>3107.6774193548385</v>
      </c>
      <c r="F13" s="60">
        <f t="shared" si="0"/>
        <v>3107.6774193548385</v>
      </c>
      <c r="G13" s="60">
        <f t="shared" si="0"/>
        <v>3107.6774193548385</v>
      </c>
      <c r="H13" s="60">
        <f t="shared" si="0"/>
        <v>3107.6774193548385</v>
      </c>
      <c r="I13" s="60">
        <f t="shared" si="0"/>
        <v>3107.6774193548385</v>
      </c>
      <c r="J13" s="60">
        <f t="shared" si="0"/>
        <v>3107.6774193548385</v>
      </c>
      <c r="K13" s="60">
        <f t="shared" si="0"/>
        <v>3107.6774193548385</v>
      </c>
      <c r="L13" s="60">
        <f t="shared" si="0"/>
        <v>3107.6774193548385</v>
      </c>
      <c r="M13" s="60">
        <f t="shared" si="0"/>
        <v>3107.6774193548385</v>
      </c>
      <c r="N13" s="60">
        <f t="shared" si="0"/>
        <v>3107.6774193548385</v>
      </c>
      <c r="O13" s="60">
        <f t="shared" si="0"/>
        <v>3107.6774193548385</v>
      </c>
      <c r="P13" s="60">
        <f t="shared" si="0"/>
        <v>3107.6774193548385</v>
      </c>
      <c r="Q13" s="60">
        <f t="shared" si="0"/>
        <v>3107.6774193548385</v>
      </c>
      <c r="R13" s="60">
        <f t="shared" si="0"/>
        <v>3107.6774193548385</v>
      </c>
      <c r="S13" s="60">
        <f t="shared" si="0"/>
        <v>3107.6774193548385</v>
      </c>
      <c r="T13" s="60">
        <f t="shared" si="0"/>
        <v>3107.6774193548385</v>
      </c>
      <c r="U13" s="60">
        <f t="shared" si="0"/>
        <v>3107.6774193548385</v>
      </c>
      <c r="V13" s="60">
        <f t="shared" si="0"/>
        <v>3107.6774193548385</v>
      </c>
      <c r="W13" s="60">
        <f t="shared" si="0"/>
        <v>3107.6774193548385</v>
      </c>
      <c r="X13" s="60">
        <f t="shared" si="0"/>
        <v>3107.6774193548385</v>
      </c>
      <c r="Y13" s="60">
        <f t="shared" si="0"/>
        <v>3107.6774193548385</v>
      </c>
      <c r="Z13" s="60">
        <f t="shared" si="0"/>
        <v>3107.6774193548385</v>
      </c>
      <c r="AA13" s="60">
        <f t="shared" si="0"/>
        <v>3107.6774193548385</v>
      </c>
      <c r="AB13" s="60">
        <f t="shared" si="0"/>
        <v>3107.6774193548385</v>
      </c>
      <c r="AC13" s="60">
        <f t="shared" si="0"/>
        <v>3107.6774193548385</v>
      </c>
      <c r="AD13" s="60">
        <f t="shared" si="0"/>
        <v>3107.6774193548385</v>
      </c>
      <c r="AE13" s="60">
        <f t="shared" si="0"/>
        <v>3107.6774193548385</v>
      </c>
      <c r="AF13" s="60">
        <f t="shared" si="0"/>
        <v>3107.6774193548385</v>
      </c>
      <c r="AG13" s="60">
        <f t="shared" si="0"/>
        <v>3107.6774193548385</v>
      </c>
      <c r="AH13" s="61">
        <f>SUM(C13:AG13)</f>
        <v>96337.999999999971</v>
      </c>
    </row>
    <row r="14" spans="1:34" ht="24.95" customHeight="1" x14ac:dyDescent="0.25">
      <c r="A14" s="366"/>
      <c r="B14" s="62" t="s">
        <v>85</v>
      </c>
      <c r="C14" s="60">
        <f>SUM($C13:C13)*C12</f>
        <v>3107.6774193548385</v>
      </c>
      <c r="D14" s="60">
        <f>SUM($C13:D13)*D12</f>
        <v>6215.3548387096771</v>
      </c>
      <c r="E14" s="60">
        <f>SUM($C13:E13)*E12</f>
        <v>9323.0322580645152</v>
      </c>
      <c r="F14" s="60">
        <f>SUM($C13:F13)*F12</f>
        <v>12430.709677419354</v>
      </c>
      <c r="G14" s="60">
        <f>SUM($C13:G13)*G12</f>
        <v>15538.387096774193</v>
      </c>
      <c r="H14" s="60">
        <f>SUM($C13:H13)*H12</f>
        <v>18646.06451612903</v>
      </c>
      <c r="I14" s="60">
        <f>SUM($C13:I13)*I12</f>
        <v>21753.741935483868</v>
      </c>
      <c r="J14" s="60">
        <f>SUM($C13:J13)*J12</f>
        <v>24861.419354838705</v>
      </c>
      <c r="K14" s="60">
        <f>SUM($C13:K13)*K12</f>
        <v>27969.096774193542</v>
      </c>
      <c r="L14" s="60">
        <f>SUM($C13:L13)*L12</f>
        <v>31076.774193548379</v>
      </c>
      <c r="M14" s="60">
        <f>SUM($C13:M13)*M12</f>
        <v>34184.45161290322</v>
      </c>
      <c r="N14" s="60">
        <f>SUM($C13:N13)*N12</f>
        <v>37292.129032258061</v>
      </c>
      <c r="O14" s="60">
        <f>SUM($C13:O13)*O12</f>
        <v>40399.806451612902</v>
      </c>
      <c r="P14" s="60">
        <f>SUM($C13:P13)*P12</f>
        <v>43507.483870967742</v>
      </c>
      <c r="Q14" s="60">
        <f>SUM($C13:Q13)*Q12</f>
        <v>46615.161290322583</v>
      </c>
      <c r="R14" s="60">
        <f>SUM($C13:R13)*R12</f>
        <v>49722.838709677424</v>
      </c>
      <c r="S14" s="60">
        <f>SUM($C13:S13)*S12</f>
        <v>52830.516129032265</v>
      </c>
      <c r="T14" s="60">
        <f>SUM($C13:T13)*T12</f>
        <v>55938.193548387106</v>
      </c>
      <c r="U14" s="60">
        <f>SUM($C13:U13)*U12</f>
        <v>59045.870967741947</v>
      </c>
      <c r="V14" s="60">
        <f>SUM($C13:V13)*V12</f>
        <v>62153.548387096787</v>
      </c>
      <c r="W14" s="60">
        <f>SUM($C13:W13)*W12</f>
        <v>65261.225806451628</v>
      </c>
      <c r="X14" s="60">
        <f>SUM($C13:X13)*X12</f>
        <v>68368.903225806469</v>
      </c>
      <c r="Y14" s="60">
        <f>SUM($C13:Y13)*Y12</f>
        <v>71476.580645161303</v>
      </c>
      <c r="Z14" s="60">
        <f>SUM($C13:Z13)*Z12</f>
        <v>74584.258064516136</v>
      </c>
      <c r="AA14" s="60">
        <f>SUM($C13:AA13)*AA12</f>
        <v>77691.93548387097</v>
      </c>
      <c r="AB14" s="60">
        <f>SUM($C13:AB13)*AB12</f>
        <v>80799.612903225803</v>
      </c>
      <c r="AC14" s="60">
        <f>SUM($C13:AC13)*AC12</f>
        <v>83907.290322580637</v>
      </c>
      <c r="AD14" s="60">
        <f>SUM($C13:AD13)*AD12</f>
        <v>87014.96774193547</v>
      </c>
      <c r="AE14" s="60">
        <f>IF(AE$12=1,SUM($C13:AE13)*AE$12,NA())</f>
        <v>90122.645161290304</v>
      </c>
      <c r="AF14" s="60">
        <f>IF(AF$12=1,SUM($C13:AF13)*AF$12,NA())</f>
        <v>93230.322580645137</v>
      </c>
      <c r="AG14" s="60">
        <f>IF(AG$12=1,SUM($C13:AG13)*AG$12,NA())</f>
        <v>96337.999999999971</v>
      </c>
      <c r="AH14" s="61"/>
    </row>
    <row r="15" spans="1:34" ht="24.95" customHeight="1" x14ac:dyDescent="0.25">
      <c r="A15" s="366"/>
      <c r="B15" s="62" t="s">
        <v>90</v>
      </c>
      <c r="C15" s="60">
        <f>C14*0.75</f>
        <v>2330.7580645161288</v>
      </c>
      <c r="D15" s="60">
        <f t="shared" ref="D15:AG15" si="1">D14*0.75</f>
        <v>4661.5161290322576</v>
      </c>
      <c r="E15" s="60">
        <f t="shared" si="1"/>
        <v>6992.2741935483864</v>
      </c>
      <c r="F15" s="60">
        <f t="shared" si="1"/>
        <v>9323.0322580645152</v>
      </c>
      <c r="G15" s="60">
        <f t="shared" si="1"/>
        <v>11653.790322580644</v>
      </c>
      <c r="H15" s="60">
        <f t="shared" si="1"/>
        <v>13984.548387096773</v>
      </c>
      <c r="I15" s="60">
        <f t="shared" si="1"/>
        <v>16315.306451612902</v>
      </c>
      <c r="J15" s="60">
        <f t="shared" si="1"/>
        <v>18646.06451612903</v>
      </c>
      <c r="K15" s="60">
        <f t="shared" si="1"/>
        <v>20976.822580645156</v>
      </c>
      <c r="L15" s="60">
        <f t="shared" si="1"/>
        <v>23307.580645161284</v>
      </c>
      <c r="M15" s="60">
        <f t="shared" si="1"/>
        <v>25638.338709677417</v>
      </c>
      <c r="N15" s="60">
        <f t="shared" si="1"/>
        <v>27969.096774193546</v>
      </c>
      <c r="O15" s="60">
        <f t="shared" si="1"/>
        <v>30299.854838709674</v>
      </c>
      <c r="P15" s="60">
        <f t="shared" si="1"/>
        <v>32630.612903225807</v>
      </c>
      <c r="Q15" s="60">
        <f t="shared" si="1"/>
        <v>34961.370967741939</v>
      </c>
      <c r="R15" s="60">
        <f t="shared" si="1"/>
        <v>37292.129032258068</v>
      </c>
      <c r="S15" s="60">
        <f t="shared" si="1"/>
        <v>39622.887096774197</v>
      </c>
      <c r="T15" s="60">
        <f t="shared" si="1"/>
        <v>41953.645161290333</v>
      </c>
      <c r="U15" s="60">
        <f t="shared" si="1"/>
        <v>44284.403225806462</v>
      </c>
      <c r="V15" s="60">
        <f t="shared" si="1"/>
        <v>46615.161290322591</v>
      </c>
      <c r="W15" s="60">
        <f t="shared" si="1"/>
        <v>48945.919354838719</v>
      </c>
      <c r="X15" s="60">
        <f t="shared" si="1"/>
        <v>51276.677419354848</v>
      </c>
      <c r="Y15" s="60">
        <f t="shared" si="1"/>
        <v>53607.435483870977</v>
      </c>
      <c r="Z15" s="60">
        <f t="shared" si="1"/>
        <v>55938.193548387106</v>
      </c>
      <c r="AA15" s="60">
        <f t="shared" si="1"/>
        <v>58268.951612903227</v>
      </c>
      <c r="AB15" s="60">
        <f t="shared" si="1"/>
        <v>60599.709677419349</v>
      </c>
      <c r="AC15" s="60">
        <f t="shared" si="1"/>
        <v>62930.467741935478</v>
      </c>
      <c r="AD15" s="60">
        <f t="shared" si="1"/>
        <v>65261.225806451606</v>
      </c>
      <c r="AE15" s="60">
        <f t="shared" si="1"/>
        <v>67591.983870967728</v>
      </c>
      <c r="AF15" s="60">
        <f t="shared" si="1"/>
        <v>69922.741935483849</v>
      </c>
      <c r="AG15" s="60">
        <f t="shared" si="1"/>
        <v>72253.499999999971</v>
      </c>
      <c r="AH15" s="61"/>
    </row>
    <row r="16" spans="1:34" ht="24.95" customHeight="1" x14ac:dyDescent="0.25">
      <c r="A16" s="366"/>
      <c r="B16" s="62" t="s">
        <v>91</v>
      </c>
      <c r="C16" s="60">
        <f>C14*1.25</f>
        <v>3884.5967741935483</v>
      </c>
      <c r="D16" s="60">
        <f t="shared" ref="D16:AG16" si="2">D14*1.25</f>
        <v>7769.1935483870966</v>
      </c>
      <c r="E16" s="60">
        <f t="shared" si="2"/>
        <v>11653.790322580644</v>
      </c>
      <c r="F16" s="60">
        <f t="shared" si="2"/>
        <v>15538.387096774193</v>
      </c>
      <c r="G16" s="60">
        <f t="shared" si="2"/>
        <v>19422.983870967742</v>
      </c>
      <c r="H16" s="60">
        <f t="shared" si="2"/>
        <v>23307.580645161288</v>
      </c>
      <c r="I16" s="60">
        <f t="shared" si="2"/>
        <v>27192.177419354834</v>
      </c>
      <c r="J16" s="60">
        <f t="shared" si="2"/>
        <v>31076.774193548379</v>
      </c>
      <c r="K16" s="60">
        <f t="shared" si="2"/>
        <v>34961.370967741925</v>
      </c>
      <c r="L16" s="60">
        <f t="shared" si="2"/>
        <v>38845.96774193547</v>
      </c>
      <c r="M16" s="60">
        <f t="shared" si="2"/>
        <v>42730.564516129023</v>
      </c>
      <c r="N16" s="60">
        <f t="shared" si="2"/>
        <v>46615.161290322576</v>
      </c>
      <c r="O16" s="60">
        <f t="shared" si="2"/>
        <v>50499.758064516129</v>
      </c>
      <c r="P16" s="60">
        <f t="shared" si="2"/>
        <v>54384.354838709682</v>
      </c>
      <c r="Q16" s="60">
        <f t="shared" si="2"/>
        <v>58268.951612903227</v>
      </c>
      <c r="R16" s="60">
        <f t="shared" si="2"/>
        <v>62153.54838709678</v>
      </c>
      <c r="S16" s="60">
        <f t="shared" si="2"/>
        <v>66038.145161290333</v>
      </c>
      <c r="T16" s="60">
        <f t="shared" si="2"/>
        <v>69922.741935483878</v>
      </c>
      <c r="U16" s="60">
        <f t="shared" si="2"/>
        <v>73807.338709677439</v>
      </c>
      <c r="V16" s="60">
        <f t="shared" si="2"/>
        <v>77691.935483870984</v>
      </c>
      <c r="W16" s="60">
        <f t="shared" si="2"/>
        <v>81576.53225806453</v>
      </c>
      <c r="X16" s="60">
        <f t="shared" si="2"/>
        <v>85461.12903225809</v>
      </c>
      <c r="Y16" s="60">
        <f t="shared" si="2"/>
        <v>89345.725806451635</v>
      </c>
      <c r="Z16" s="60">
        <f t="shared" si="2"/>
        <v>93230.322580645166</v>
      </c>
      <c r="AA16" s="60">
        <f t="shared" si="2"/>
        <v>97114.919354838712</v>
      </c>
      <c r="AB16" s="60">
        <f t="shared" si="2"/>
        <v>100999.51612903226</v>
      </c>
      <c r="AC16" s="60">
        <f t="shared" si="2"/>
        <v>104884.11290322579</v>
      </c>
      <c r="AD16" s="60">
        <f t="shared" si="2"/>
        <v>108768.70967741933</v>
      </c>
      <c r="AE16" s="60">
        <f t="shared" si="2"/>
        <v>112653.30645161288</v>
      </c>
      <c r="AF16" s="60">
        <f t="shared" si="2"/>
        <v>116537.90322580643</v>
      </c>
      <c r="AG16" s="60">
        <f t="shared" si="2"/>
        <v>120422.49999999997</v>
      </c>
      <c r="AH16" s="61"/>
    </row>
    <row r="17" spans="1:35" ht="24.95" customHeight="1" x14ac:dyDescent="0.25">
      <c r="A17" s="366"/>
      <c r="B17" s="62" t="s">
        <v>78</v>
      </c>
      <c r="C17" s="60">
        <f>SUMIF(Фактеризация!$C$1:$C$25,$B17,Фактеризация!D$1:D$25)</f>
        <v>0</v>
      </c>
      <c r="D17" s="60">
        <f>SUMIF(Фактеризация!$C$1:$C$25,$B17,Фактеризация!E$1:E$25)</f>
        <v>0</v>
      </c>
      <c r="E17" s="60">
        <f>SUMIF(Фактеризация!$C$1:$C$25,$B17,Фактеризация!F$1:F$25)</f>
        <v>0</v>
      </c>
      <c r="F17" s="60">
        <f>SUMIF(Фактеризация!$C$1:$C$25,$B17,Фактеризация!G$1:G$25)</f>
        <v>0</v>
      </c>
      <c r="G17" s="60">
        <f>SUMIF(Фактеризация!$C$1:$C$25,$B17,Фактеризация!H$1:H$25)</f>
        <v>0</v>
      </c>
      <c r="H17" s="60">
        <f>SUMIF(Фактеризация!$C$1:$C$25,$B17,Фактеризация!I$1:I$25)</f>
        <v>0</v>
      </c>
      <c r="I17" s="60">
        <f>SUMIF(Фактеризация!$C$1:$C$25,$B17,Фактеризация!J$1:J$25)</f>
        <v>0</v>
      </c>
      <c r="J17" s="60">
        <f>SUMIF(Фактеризация!$C$1:$C$25,$B17,Фактеризация!K$1:K$25)</f>
        <v>0</v>
      </c>
      <c r="K17" s="60">
        <f>SUMIF(Фактеризация!$C$1:$C$25,$B17,Фактеризация!L$1:L$25)</f>
        <v>5804</v>
      </c>
      <c r="L17" s="60">
        <f>SUMIF(Фактеризация!$C$1:$C$25,$B17,Фактеризация!M$1:M$25)</f>
        <v>0</v>
      </c>
      <c r="M17" s="60">
        <f>SUMIF(Фактеризация!$C$1:$C$25,$B17,Фактеризация!N$1:N$25)</f>
        <v>12453</v>
      </c>
      <c r="N17" s="60">
        <f>SUMIF(Фактеризация!$C$1:$C$25,$B17,Фактеризация!O$1:O$25)</f>
        <v>4676</v>
      </c>
      <c r="O17" s="60">
        <f>SUMIF(Фактеризация!$C$1:$C$25,$B17,Фактеризация!P$1:P$25)</f>
        <v>0</v>
      </c>
      <c r="P17" s="60">
        <f>SUMIF(Фактеризация!$C$1:$C$25,$B17,Фактеризация!Q$1:Q$25)</f>
        <v>0</v>
      </c>
      <c r="Q17" s="60">
        <f>SUMIF(Фактеризация!$C$1:$C$25,$B17,Фактеризация!R$1:R$25)</f>
        <v>2841</v>
      </c>
      <c r="R17" s="60">
        <f>SUMIF(Фактеризация!$C$1:$C$25,$B17,Фактеризация!S$1:S$25)</f>
        <v>0</v>
      </c>
      <c r="S17" s="60">
        <f>SUMIF(Фактеризация!$C$1:$C$25,$B17,Фактеризация!T$1:T$25)</f>
        <v>5766</v>
      </c>
      <c r="T17" s="60">
        <f>SUMIF(Фактеризация!$C$1:$C$25,$B17,Фактеризация!U$1:U$25)</f>
        <v>0</v>
      </c>
      <c r="U17" s="60">
        <f>SUMIF(Фактеризация!$C$1:$C$25,$B17,Фактеризация!V$1:V$25)</f>
        <v>0</v>
      </c>
      <c r="V17" s="60">
        <f>SUMIF(Фактеризация!$C$1:$C$25,$B17,Фактеризация!W$1:W$25)</f>
        <v>0</v>
      </c>
      <c r="W17" s="60">
        <f>SUMIF(Фактеризация!$C$1:$C$25,$B17,Фактеризация!X$1:X$25)</f>
        <v>0</v>
      </c>
      <c r="X17" s="60">
        <f>SUMIF(Фактеризация!$C$1:$C$25,$B17,Фактеризация!Y$1:Y$25)</f>
        <v>0</v>
      </c>
      <c r="Y17" s="60">
        <f>SUMIF(Фактеризация!$C$1:$C$25,$B17,Фактеризация!Z$1:Z$25)</f>
        <v>0</v>
      </c>
      <c r="Z17" s="60">
        <f>SUMIF(Фактеризация!$C$1:$C$25,$B17,Фактеризация!AA$1:AA$25)</f>
        <v>0</v>
      </c>
      <c r="AA17" s="60">
        <f>SUMIF(Фактеризация!$C$1:$C$25,$B17,Фактеризация!AB$1:AB$25)</f>
        <v>9752</v>
      </c>
      <c r="AB17" s="60">
        <f>SUMIF(Фактеризация!$C$1:$C$25,$B17,Фактеризация!AC$1:AC$25)</f>
        <v>0</v>
      </c>
      <c r="AC17" s="60">
        <f>SUMIF(Фактеризация!$C$1:$C$25,$B17,Фактеризация!AD$1:AD$25)</f>
        <v>0</v>
      </c>
      <c r="AD17" s="60">
        <f>SUMIF(Фактеризация!$C$1:$C$25,$B17,Фактеризация!AE$1:AE$25)</f>
        <v>0</v>
      </c>
      <c r="AE17" s="60">
        <f>SUMIF(Фактеризация!$C$1:$C$25,$B17,Фактеризация!AF$1:AF$25)</f>
        <v>0</v>
      </c>
      <c r="AF17" s="60">
        <f>SUMIF(Фактеризация!$C$1:$C$25,$B17,Фактеризация!AG$1:AG$25)</f>
        <v>0</v>
      </c>
      <c r="AG17" s="60">
        <f>SUMIF(Фактеризация!$C$1:$C$25,$B17,Фактеризация!AH$1:AH$25)</f>
        <v>0</v>
      </c>
      <c r="AH17" s="61">
        <f>SUM(C17:AG17)</f>
        <v>41292</v>
      </c>
    </row>
    <row r="18" spans="1:35" ht="24.95" customHeight="1" x14ac:dyDescent="0.25">
      <c r="A18" s="366"/>
      <c r="B18" s="62" t="s">
        <v>85</v>
      </c>
      <c r="C18" s="60">
        <f>SUM($C17:C17)*C12</f>
        <v>0</v>
      </c>
      <c r="D18" s="60">
        <f>IF(SUM(D17:$AG17)&gt;0,SUM($C17:D17)*D12,NA())</f>
        <v>0</v>
      </c>
      <c r="E18" s="60">
        <f>IF(SUM(E17:$AG17)&gt;0,SUM($C17:E17)*E12,NA())</f>
        <v>0</v>
      </c>
      <c r="F18" s="60">
        <f>IF(SUM(F17:$AG17)&gt;0,SUM($C17:F17)*F12,NA())</f>
        <v>0</v>
      </c>
      <c r="G18" s="60">
        <f>IF(SUM(G17:$AG17)&gt;0,SUM($C17:G17)*G12,NA())</f>
        <v>0</v>
      </c>
      <c r="H18" s="60">
        <f>IF(SUM(H17:$AG17)&gt;0,SUM($C17:H17)*H12,NA())</f>
        <v>0</v>
      </c>
      <c r="I18" s="60">
        <f>IF(SUM(I17:$AG17)&gt;0,SUM($C17:I17)*I12,NA())</f>
        <v>0</v>
      </c>
      <c r="J18" s="60">
        <f>IF(SUM(J17:$AG17)&gt;0,SUM($C17:J17)*J12,NA())</f>
        <v>0</v>
      </c>
      <c r="K18" s="60">
        <f>IF(SUM(K17:$AG17)&gt;0,SUM($C17:K17)*K12,NA())</f>
        <v>5804</v>
      </c>
      <c r="L18" s="60">
        <f>IF(SUM(L17:$AG17)&gt;0,SUM($C17:L17)*L12,NA())</f>
        <v>5804</v>
      </c>
      <c r="M18" s="60">
        <f>IF(SUM(M17:$AG17)&gt;0,SUM($C17:M17)*M12,NA())</f>
        <v>18257</v>
      </c>
      <c r="N18" s="60">
        <f>IF(SUM(N17:$AG17)&gt;0,SUM($C17:N17)*N12,NA())</f>
        <v>22933</v>
      </c>
      <c r="O18" s="60">
        <f>IF(SUM(O17:$AG17)&gt;0,SUM($C17:O17)*O12,NA())</f>
        <v>22933</v>
      </c>
      <c r="P18" s="60">
        <f>IF(SUM(P17:$AG17)&gt;0,SUM($C17:P17)*P12,NA())</f>
        <v>22933</v>
      </c>
      <c r="Q18" s="60">
        <f>IF(SUM(Q17:$AG17)&gt;0,SUM($C17:Q17)*Q12,NA())</f>
        <v>25774</v>
      </c>
      <c r="R18" s="60">
        <f>IF(SUM(R17:$AG17)&gt;0,SUM($C17:R17)*R12,NA())</f>
        <v>25774</v>
      </c>
      <c r="S18" s="60">
        <f>IF(SUM(S17:$AG17)&gt;0,SUM($C17:S17)*S12,NA())</f>
        <v>31540</v>
      </c>
      <c r="T18" s="60">
        <f>IF(SUM(T17:$AG17)&gt;0,SUM($C17:T17)*T12,NA())</f>
        <v>31540</v>
      </c>
      <c r="U18" s="60">
        <f>IF(SUM(U17:$AG17)&gt;0,SUM($C17:U17)*U12,NA())</f>
        <v>31540</v>
      </c>
      <c r="V18" s="60">
        <f>IF(SUM(V17:$AG17)&gt;0,SUM($C17:V17)*V12,NA())</f>
        <v>31540</v>
      </c>
      <c r="W18" s="60">
        <f>IF(SUM(W17:$AG17)&gt;0,SUM($C17:W17)*W12,NA())</f>
        <v>31540</v>
      </c>
      <c r="X18" s="60">
        <f>IF(SUM(X17:$AG17)&gt;0,SUM($C17:X17)*X12,NA())</f>
        <v>31540</v>
      </c>
      <c r="Y18" s="60">
        <f>IF(SUM(Y17:$AG17)&gt;0,SUM($C17:Y17)*Y12,NA())</f>
        <v>31540</v>
      </c>
      <c r="Z18" s="60">
        <f>IF(SUM(Z17:$AG17)&gt;0,SUM($C17:Z17)*Z12,NA())</f>
        <v>31540</v>
      </c>
      <c r="AA18" s="60">
        <f>IF(SUM(AA17:$AG17)&gt;0,SUM($C17:AA17)*AA12,NA())</f>
        <v>41292</v>
      </c>
      <c r="AB18" s="60" t="e">
        <f>IF(SUM(AB17:$AG17)&gt;0,SUM($C17:AB17)*AB12,NA())</f>
        <v>#N/A</v>
      </c>
      <c r="AC18" s="60" t="e">
        <f>IF(SUM(AC17:$AG17)&gt;0,SUM($C17:AC17)*AC12,NA())</f>
        <v>#N/A</v>
      </c>
      <c r="AD18" s="60" t="e">
        <f>IF(SUM(AD17:$AG17)&gt;0,SUM($C17:AD17)*AD12,NA())</f>
        <v>#N/A</v>
      </c>
      <c r="AE18" s="60" t="e">
        <f>IF(SUM(AE17:$AG17)&gt;0,SUM($C17:AE17)*AE12,NA())</f>
        <v>#N/A</v>
      </c>
      <c r="AF18" s="60" t="e">
        <f>IF(SUM(AF17:$AG17)&gt;0,SUM($C17:AF17)*AF12,NA())</f>
        <v>#N/A</v>
      </c>
      <c r="AG18" s="60" t="e">
        <f>IF(SUM(AG17:$AG17)&gt;0,SUM($C17:AG17)*AG12,NA())</f>
        <v>#N/A</v>
      </c>
      <c r="AH18" s="61">
        <f>AH17</f>
        <v>41292</v>
      </c>
    </row>
    <row r="19" spans="1:35" ht="24.95" customHeight="1" x14ac:dyDescent="0.25">
      <c r="A19" s="366"/>
      <c r="B19" s="62" t="s">
        <v>84</v>
      </c>
      <c r="C19" s="60">
        <f t="shared" ref="C19:AG19" si="3">IF(C$11&lt;=CurrentMonthDays, ПланДопы/CurrentMonthDays,0)</f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0</v>
      </c>
      <c r="O19" s="60">
        <f t="shared" si="3"/>
        <v>0</v>
      </c>
      <c r="P19" s="60">
        <f t="shared" si="3"/>
        <v>0</v>
      </c>
      <c r="Q19" s="60">
        <f t="shared" si="3"/>
        <v>0</v>
      </c>
      <c r="R19" s="60">
        <f t="shared" si="3"/>
        <v>0</v>
      </c>
      <c r="S19" s="60">
        <f t="shared" si="3"/>
        <v>0</v>
      </c>
      <c r="T19" s="60">
        <f t="shared" si="3"/>
        <v>0</v>
      </c>
      <c r="U19" s="60">
        <f t="shared" si="3"/>
        <v>0</v>
      </c>
      <c r="V19" s="60">
        <f t="shared" si="3"/>
        <v>0</v>
      </c>
      <c r="W19" s="60">
        <f t="shared" si="3"/>
        <v>0</v>
      </c>
      <c r="X19" s="60">
        <f t="shared" si="3"/>
        <v>0</v>
      </c>
      <c r="Y19" s="60">
        <f t="shared" si="3"/>
        <v>0</v>
      </c>
      <c r="Z19" s="60">
        <f t="shared" si="3"/>
        <v>0</v>
      </c>
      <c r="AA19" s="60">
        <f t="shared" si="3"/>
        <v>0</v>
      </c>
      <c r="AB19" s="60">
        <f t="shared" si="3"/>
        <v>0</v>
      </c>
      <c r="AC19" s="60">
        <f t="shared" si="3"/>
        <v>0</v>
      </c>
      <c r="AD19" s="60">
        <f t="shared" si="3"/>
        <v>0</v>
      </c>
      <c r="AE19" s="60">
        <f t="shared" si="3"/>
        <v>0</v>
      </c>
      <c r="AF19" s="60">
        <f t="shared" si="3"/>
        <v>0</v>
      </c>
      <c r="AG19" s="60">
        <f t="shared" si="3"/>
        <v>0</v>
      </c>
      <c r="AH19" s="61">
        <f>SUM(C19:AG19)</f>
        <v>0</v>
      </c>
      <c r="AI19" s="70" t="s">
        <v>93</v>
      </c>
    </row>
    <row r="20" spans="1:35" ht="24.95" customHeight="1" x14ac:dyDescent="0.25">
      <c r="A20" s="366"/>
      <c r="B20" s="62" t="s">
        <v>85</v>
      </c>
      <c r="C20" s="60">
        <f>SUM($C19:C19)*C12</f>
        <v>0</v>
      </c>
      <c r="D20" s="60">
        <f>SUM($C19:D19)*D12</f>
        <v>0</v>
      </c>
      <c r="E20" s="60">
        <f>SUM($C19:E19)*E12</f>
        <v>0</v>
      </c>
      <c r="F20" s="60">
        <f>SUM($C19:F19)*F12</f>
        <v>0</v>
      </c>
      <c r="G20" s="60">
        <f>SUM($C19:G19)*G12</f>
        <v>0</v>
      </c>
      <c r="H20" s="60">
        <f>SUM($C19:H19)*H12</f>
        <v>0</v>
      </c>
      <c r="I20" s="60">
        <f>SUM($C19:I19)*I12</f>
        <v>0</v>
      </c>
      <c r="J20" s="60">
        <f>SUM($C19:J19)*J12</f>
        <v>0</v>
      </c>
      <c r="K20" s="60">
        <f>SUM($C19:K19)*K12</f>
        <v>0</v>
      </c>
      <c r="L20" s="60">
        <f>SUM($C19:L19)*L12</f>
        <v>0</v>
      </c>
      <c r="M20" s="60">
        <f>SUM($C19:M19)*M12</f>
        <v>0</v>
      </c>
      <c r="N20" s="60">
        <f>SUM($C19:N19)*N12</f>
        <v>0</v>
      </c>
      <c r="O20" s="60">
        <f>SUM($C19:O19)*O12</f>
        <v>0</v>
      </c>
      <c r="P20" s="60">
        <f>SUM($C19:P19)*P12</f>
        <v>0</v>
      </c>
      <c r="Q20" s="60">
        <f>SUM($C19:Q19)*Q12</f>
        <v>0</v>
      </c>
      <c r="R20" s="60">
        <f>SUM($C19:R19)*R12</f>
        <v>0</v>
      </c>
      <c r="S20" s="60">
        <f>SUM($C19:S19)*S12</f>
        <v>0</v>
      </c>
      <c r="T20" s="60">
        <f>SUM($C19:T19)*T12</f>
        <v>0</v>
      </c>
      <c r="U20" s="60">
        <f>SUM($C19:U19)*U12</f>
        <v>0</v>
      </c>
      <c r="V20" s="60">
        <f>SUM($C19:V19)*V12</f>
        <v>0</v>
      </c>
      <c r="W20" s="60">
        <f>SUM($C19:W19)*W12</f>
        <v>0</v>
      </c>
      <c r="X20" s="60">
        <f>SUM($C19:X19)*X12</f>
        <v>0</v>
      </c>
      <c r="Y20" s="60">
        <f>SUM($C19:Y19)*Y12</f>
        <v>0</v>
      </c>
      <c r="Z20" s="60">
        <f>SUM($C19:Z19)*Z12</f>
        <v>0</v>
      </c>
      <c r="AA20" s="60">
        <f>SUM($C19:AA19)*AA12</f>
        <v>0</v>
      </c>
      <c r="AB20" s="60">
        <f>SUM($C19:AB19)*AB12</f>
        <v>0</v>
      </c>
      <c r="AC20" s="60">
        <f>SUM($C19:AC19)*AC12</f>
        <v>0</v>
      </c>
      <c r="AD20" s="60">
        <f>SUM($C19:AD19)*AD12</f>
        <v>0</v>
      </c>
      <c r="AE20" s="60">
        <f>IF(AE$12=1,SUM($C19:AE19)*AE$12,NA())</f>
        <v>0</v>
      </c>
      <c r="AF20" s="60">
        <f>IF(AF$12=1,SUM($C19:AF19)*AF$12,NA())</f>
        <v>0</v>
      </c>
      <c r="AG20" s="60">
        <f>IF(AG$12=1,SUM($C19:AG19)*AG$12,NA())</f>
        <v>0</v>
      </c>
      <c r="AH20" s="61">
        <f>MAX(C20:AG20)</f>
        <v>0</v>
      </c>
      <c r="AI20" s="70" t="s">
        <v>93</v>
      </c>
    </row>
    <row r="21" spans="1:35" ht="24.95" customHeight="1" x14ac:dyDescent="0.25">
      <c r="A21" s="366"/>
      <c r="B21" s="62" t="s">
        <v>90</v>
      </c>
      <c r="C21" s="60">
        <f>C20*0.75</f>
        <v>0</v>
      </c>
      <c r="D21" s="60">
        <f t="shared" ref="D21:AG21" si="4">D20*0.75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60">
        <f t="shared" si="4"/>
        <v>0</v>
      </c>
      <c r="M21" s="60">
        <f t="shared" si="4"/>
        <v>0</v>
      </c>
      <c r="N21" s="60">
        <f t="shared" si="4"/>
        <v>0</v>
      </c>
      <c r="O21" s="60">
        <f t="shared" si="4"/>
        <v>0</v>
      </c>
      <c r="P21" s="60">
        <f t="shared" si="4"/>
        <v>0</v>
      </c>
      <c r="Q21" s="60">
        <f t="shared" si="4"/>
        <v>0</v>
      </c>
      <c r="R21" s="60">
        <f t="shared" si="4"/>
        <v>0</v>
      </c>
      <c r="S21" s="60">
        <f t="shared" si="4"/>
        <v>0</v>
      </c>
      <c r="T21" s="60">
        <f t="shared" si="4"/>
        <v>0</v>
      </c>
      <c r="U21" s="60">
        <f t="shared" si="4"/>
        <v>0</v>
      </c>
      <c r="V21" s="60">
        <f t="shared" si="4"/>
        <v>0</v>
      </c>
      <c r="W21" s="60">
        <f t="shared" si="4"/>
        <v>0</v>
      </c>
      <c r="X21" s="60">
        <f t="shared" si="4"/>
        <v>0</v>
      </c>
      <c r="Y21" s="60">
        <f t="shared" si="4"/>
        <v>0</v>
      </c>
      <c r="Z21" s="60">
        <f t="shared" si="4"/>
        <v>0</v>
      </c>
      <c r="AA21" s="60">
        <f t="shared" si="4"/>
        <v>0</v>
      </c>
      <c r="AB21" s="60">
        <f t="shared" si="4"/>
        <v>0</v>
      </c>
      <c r="AC21" s="60">
        <f t="shared" si="4"/>
        <v>0</v>
      </c>
      <c r="AD21" s="60">
        <f t="shared" si="4"/>
        <v>0</v>
      </c>
      <c r="AE21" s="60">
        <f t="shared" si="4"/>
        <v>0</v>
      </c>
      <c r="AF21" s="60">
        <f t="shared" si="4"/>
        <v>0</v>
      </c>
      <c r="AG21" s="60">
        <f t="shared" si="4"/>
        <v>0</v>
      </c>
      <c r="AH21" s="61"/>
    </row>
    <row r="22" spans="1:35" ht="24.95" customHeight="1" x14ac:dyDescent="0.25">
      <c r="A22" s="366"/>
      <c r="B22" s="62" t="s">
        <v>91</v>
      </c>
      <c r="C22" s="60">
        <f>C20*1.25</f>
        <v>0</v>
      </c>
      <c r="D22" s="60">
        <f t="shared" ref="D22:AG22" si="5">D20*1.25</f>
        <v>0</v>
      </c>
      <c r="E22" s="60">
        <f t="shared" si="5"/>
        <v>0</v>
      </c>
      <c r="F22" s="60">
        <f t="shared" si="5"/>
        <v>0</v>
      </c>
      <c r="G22" s="60">
        <f t="shared" si="5"/>
        <v>0</v>
      </c>
      <c r="H22" s="60">
        <f t="shared" si="5"/>
        <v>0</v>
      </c>
      <c r="I22" s="60">
        <f t="shared" si="5"/>
        <v>0</v>
      </c>
      <c r="J22" s="60">
        <f t="shared" si="5"/>
        <v>0</v>
      </c>
      <c r="K22" s="60">
        <f t="shared" si="5"/>
        <v>0</v>
      </c>
      <c r="L22" s="60">
        <f t="shared" si="5"/>
        <v>0</v>
      </c>
      <c r="M22" s="60">
        <f t="shared" si="5"/>
        <v>0</v>
      </c>
      <c r="N22" s="60">
        <f t="shared" si="5"/>
        <v>0</v>
      </c>
      <c r="O22" s="60">
        <f t="shared" si="5"/>
        <v>0</v>
      </c>
      <c r="P22" s="60">
        <f t="shared" si="5"/>
        <v>0</v>
      </c>
      <c r="Q22" s="60">
        <f t="shared" si="5"/>
        <v>0</v>
      </c>
      <c r="R22" s="60">
        <f t="shared" si="5"/>
        <v>0</v>
      </c>
      <c r="S22" s="60">
        <f t="shared" si="5"/>
        <v>0</v>
      </c>
      <c r="T22" s="60">
        <f t="shared" si="5"/>
        <v>0</v>
      </c>
      <c r="U22" s="60">
        <f t="shared" si="5"/>
        <v>0</v>
      </c>
      <c r="V22" s="60">
        <f t="shared" si="5"/>
        <v>0</v>
      </c>
      <c r="W22" s="60">
        <f t="shared" si="5"/>
        <v>0</v>
      </c>
      <c r="X22" s="60">
        <f t="shared" si="5"/>
        <v>0</v>
      </c>
      <c r="Y22" s="60">
        <f t="shared" si="5"/>
        <v>0</v>
      </c>
      <c r="Z22" s="60">
        <f t="shared" si="5"/>
        <v>0</v>
      </c>
      <c r="AA22" s="60">
        <f t="shared" si="5"/>
        <v>0</v>
      </c>
      <c r="AB22" s="60">
        <f t="shared" si="5"/>
        <v>0</v>
      </c>
      <c r="AC22" s="60">
        <f t="shared" si="5"/>
        <v>0</v>
      </c>
      <c r="AD22" s="60">
        <f t="shared" si="5"/>
        <v>0</v>
      </c>
      <c r="AE22" s="60">
        <f t="shared" si="5"/>
        <v>0</v>
      </c>
      <c r="AF22" s="60">
        <f t="shared" si="5"/>
        <v>0</v>
      </c>
      <c r="AG22" s="60">
        <f t="shared" si="5"/>
        <v>0</v>
      </c>
      <c r="AH22" s="61"/>
    </row>
    <row r="23" spans="1:35" ht="24.95" customHeight="1" x14ac:dyDescent="0.25">
      <c r="A23" s="366"/>
      <c r="B23" s="62" t="s">
        <v>80</v>
      </c>
      <c r="C23" s="60">
        <f>SUMIF(Фактеризация!$C$1:$C$25,$B23,Фактеризация!D$1:D$25)</f>
        <v>0</v>
      </c>
      <c r="D23" s="60">
        <f>SUMIF(Фактеризация!$C$1:$C$25,$B23,Фактеризация!E$1:E$25)</f>
        <v>0</v>
      </c>
      <c r="E23" s="60">
        <f>SUMIF(Фактеризация!$C$1:$C$25,$B23,Фактеризация!F$1:F$25)</f>
        <v>0</v>
      </c>
      <c r="F23" s="60">
        <f>SUMIF(Фактеризация!$C$1:$C$25,$B23,Фактеризация!G$1:G$25)</f>
        <v>0</v>
      </c>
      <c r="G23" s="60">
        <f>SUMIF(Фактеризация!$C$1:$C$25,$B23,Фактеризация!H$1:H$25)</f>
        <v>0</v>
      </c>
      <c r="H23" s="60">
        <f>SUMIF(Фактеризация!$C$1:$C$25,$B23,Фактеризация!I$1:I$25)</f>
        <v>0</v>
      </c>
      <c r="I23" s="60">
        <f>SUMIF(Фактеризация!$C$1:$C$25,$B23,Фактеризация!J$1:J$25)</f>
        <v>0</v>
      </c>
      <c r="J23" s="60">
        <f>SUMIF(Фактеризация!$C$1:$C$25,$B23,Фактеризация!K$1:K$25)</f>
        <v>0</v>
      </c>
      <c r="K23" s="60">
        <f>SUMIF(Фактеризация!$C$1:$C$25,$B23,Фактеризация!L$1:L$25)</f>
        <v>0</v>
      </c>
      <c r="L23" s="60">
        <f>SUMIF(Фактеризация!$C$1:$C$25,$B23,Фактеризация!M$1:M$25)</f>
        <v>0</v>
      </c>
      <c r="M23" s="60">
        <f>SUMIF(Фактеризация!$C$1:$C$25,$B23,Фактеризация!N$1:N$25)</f>
        <v>0</v>
      </c>
      <c r="N23" s="60">
        <f>SUMIF(Фактеризация!$C$1:$C$25,$B23,Фактеризация!O$1:O$25)</f>
        <v>0</v>
      </c>
      <c r="O23" s="60">
        <f>SUMIF(Фактеризация!$C$1:$C$25,$B23,Фактеризация!P$1:P$25)</f>
        <v>0</v>
      </c>
      <c r="P23" s="60">
        <f>SUMIF(Фактеризация!$C$1:$C$25,$B23,Фактеризация!Q$1:Q$25)</f>
        <v>0</v>
      </c>
      <c r="Q23" s="60">
        <f>SUMIF(Фактеризация!$C$1:$C$25,$B23,Фактеризация!R$1:R$25)</f>
        <v>0</v>
      </c>
      <c r="R23" s="60">
        <f>SUMIF(Фактеризация!$C$1:$C$25,$B23,Фактеризация!S$1:S$25)</f>
        <v>0</v>
      </c>
      <c r="S23" s="60">
        <f>SUMIF(Фактеризация!$C$1:$C$25,$B23,Фактеризация!T$1:T$25)</f>
        <v>0</v>
      </c>
      <c r="T23" s="60">
        <f>SUMIF(Фактеризация!$C$1:$C$25,$B23,Фактеризация!U$1:U$25)</f>
        <v>0</v>
      </c>
      <c r="U23" s="60">
        <f>SUMIF(Фактеризация!$C$1:$C$25,$B23,Фактеризация!V$1:V$25)</f>
        <v>0</v>
      </c>
      <c r="V23" s="60">
        <f>SUMIF(Фактеризация!$C$1:$C$25,$B23,Фактеризация!W$1:W$25)</f>
        <v>0</v>
      </c>
      <c r="W23" s="60">
        <f>SUMIF(Фактеризация!$C$1:$C$25,$B23,Фактеризация!X$1:X$25)</f>
        <v>0</v>
      </c>
      <c r="X23" s="60">
        <f>SUMIF(Фактеризация!$C$1:$C$25,$B23,Фактеризация!Y$1:Y$25)</f>
        <v>0</v>
      </c>
      <c r="Y23" s="60">
        <f>SUMIF(Фактеризация!$C$1:$C$25,$B23,Фактеризация!Z$1:Z$25)</f>
        <v>0</v>
      </c>
      <c r="Z23" s="60">
        <f>SUMIF(Фактеризация!$C$1:$C$25,$B23,Фактеризация!AA$1:AA$25)</f>
        <v>0</v>
      </c>
      <c r="AA23" s="60">
        <f>SUMIF(Фактеризация!$C$1:$C$25,$B23,Фактеризация!AB$1:AB$25)</f>
        <v>0</v>
      </c>
      <c r="AB23" s="60">
        <f>SUMIF(Фактеризация!$C$1:$C$25,$B23,Фактеризация!AC$1:AC$25)</f>
        <v>0</v>
      </c>
      <c r="AC23" s="60">
        <f>SUMIF(Фактеризация!$C$1:$C$25,$B23,Фактеризация!AD$1:AD$25)</f>
        <v>0</v>
      </c>
      <c r="AD23" s="60">
        <f>SUMIF(Фактеризация!$C$1:$C$25,$B23,Фактеризация!AE$1:AE$25)</f>
        <v>0</v>
      </c>
      <c r="AE23" s="60">
        <f>SUMIF(Фактеризация!$C$1:$C$25,$B23,Фактеризация!AF$1:AF$25)</f>
        <v>0</v>
      </c>
      <c r="AF23" s="60">
        <f>SUMIF(Фактеризация!$C$1:$C$25,$B23,Фактеризация!AG$1:AG$25)</f>
        <v>0</v>
      </c>
      <c r="AG23" s="60">
        <f>SUMIF(Фактеризация!$C$1:$C$25,$B23,Фактеризация!AH$1:AH$25)</f>
        <v>0</v>
      </c>
      <c r="AH23" s="61">
        <f>SUM(C23:AG23)</f>
        <v>0</v>
      </c>
      <c r="AI23" s="70" t="s">
        <v>93</v>
      </c>
    </row>
    <row r="24" spans="1:35" ht="24.95" customHeight="1" x14ac:dyDescent="0.25">
      <c r="A24" s="366"/>
      <c r="B24" s="62" t="s">
        <v>85</v>
      </c>
      <c r="C24" s="60">
        <f>SUM($C23:C23)*C12</f>
        <v>0</v>
      </c>
      <c r="D24" s="60" t="e">
        <f>IF(SUM(D23:$AG23)&gt;0,SUM($C23:D23)*D12,NA())</f>
        <v>#N/A</v>
      </c>
      <c r="E24" s="60" t="e">
        <f>IF(SUM(E23:$AG23)&gt;0,SUM($C23:E23)*E12,NA())</f>
        <v>#N/A</v>
      </c>
      <c r="F24" s="60" t="e">
        <f>IF(SUM(F23:$AG23)&gt;0,SUM($C23:F23)*F12,NA())</f>
        <v>#N/A</v>
      </c>
      <c r="G24" s="60" t="e">
        <f>IF(SUM(G23:$AG23)&gt;0,SUM($C23:G23)*G12,NA())</f>
        <v>#N/A</v>
      </c>
      <c r="H24" s="60" t="e">
        <f>IF(SUM(H23:$AG23)&gt;0,SUM($C23:H23)*H12,NA())</f>
        <v>#N/A</v>
      </c>
      <c r="I24" s="60" t="e">
        <f>IF(SUM(I23:$AG23)&gt;0,SUM($C23:I23)*I12,NA())</f>
        <v>#N/A</v>
      </c>
      <c r="J24" s="60" t="e">
        <f>IF(SUM(J23:$AG23)&gt;0,SUM($C23:J23)*J12,NA())</f>
        <v>#N/A</v>
      </c>
      <c r="K24" s="60" t="e">
        <f>IF(SUM(K23:$AG23)&gt;0,SUM($C23:K23)*K12,NA())</f>
        <v>#N/A</v>
      </c>
      <c r="L24" s="60" t="e">
        <f>IF(SUM(L23:$AG23)&gt;0,SUM($C23:L23)*L12,NA())</f>
        <v>#N/A</v>
      </c>
      <c r="M24" s="60" t="e">
        <f>IF(SUM(M23:$AG23)&gt;0,SUM($C23:M23)*M12,NA())</f>
        <v>#N/A</v>
      </c>
      <c r="N24" s="60" t="e">
        <f>IF(SUM(N23:$AG23)&gt;0,SUM($C23:N23)*N12,NA())</f>
        <v>#N/A</v>
      </c>
      <c r="O24" s="60" t="e">
        <f>IF(SUM(O23:$AG23)&gt;0,SUM($C23:O23)*O12,NA())</f>
        <v>#N/A</v>
      </c>
      <c r="P24" s="60" t="e">
        <f>IF(SUM(P23:$AG23)&gt;0,SUM($C23:P23)*P12,NA())</f>
        <v>#N/A</v>
      </c>
      <c r="Q24" s="60" t="e">
        <f>IF(SUM(Q23:$AG23)&gt;0,SUM($C23:Q23)*Q12,NA())</f>
        <v>#N/A</v>
      </c>
      <c r="R24" s="60" t="e">
        <f>IF(SUM(R23:$AG23)&gt;0,SUM($C23:R23)*R12,NA())</f>
        <v>#N/A</v>
      </c>
      <c r="S24" s="60" t="e">
        <f>IF(SUM(S23:$AG23)&gt;0,SUM($C23:S23)*S12,NA())</f>
        <v>#N/A</v>
      </c>
      <c r="T24" s="60" t="e">
        <f>IF(SUM(T23:$AG23)&gt;0,SUM($C23:T23)*T12,NA())</f>
        <v>#N/A</v>
      </c>
      <c r="U24" s="60" t="e">
        <f>IF(SUM(U23:$AG23)&gt;0,SUM($C23:U23)*U12,NA())</f>
        <v>#N/A</v>
      </c>
      <c r="V24" s="60" t="e">
        <f>IF(SUM(V23:$AG23)&gt;0,SUM($C23:V23)*V12,NA())</f>
        <v>#N/A</v>
      </c>
      <c r="W24" s="60" t="e">
        <f>IF(SUM(W23:$AG23)&gt;0,SUM($C23:W23)*W12,NA())</f>
        <v>#N/A</v>
      </c>
      <c r="X24" s="60" t="e">
        <f>IF(SUM(X23:$AG23)&gt;0,SUM($C23:X23)*X12,NA())</f>
        <v>#N/A</v>
      </c>
      <c r="Y24" s="60" t="e">
        <f>IF(SUM(Y23:$AG23)&gt;0,SUM($C23:Y23)*Y12,NA())</f>
        <v>#N/A</v>
      </c>
      <c r="Z24" s="60" t="e">
        <f>IF(SUM(Z23:$AG23)&gt;0,SUM($C23:Z23)*Z12,NA())</f>
        <v>#N/A</v>
      </c>
      <c r="AA24" s="60" t="e">
        <f>IF(SUM(AA23:$AG23)&gt;0,SUM($C23:AA23)*AA12,NA())</f>
        <v>#N/A</v>
      </c>
      <c r="AB24" s="60" t="e">
        <f>IF(SUM(AB23:$AG23)&gt;0,SUM($C23:AB23)*AB12,NA())</f>
        <v>#N/A</v>
      </c>
      <c r="AC24" s="60" t="e">
        <f>IF(SUM(AC23:$AG23)&gt;0,SUM($C23:AC23)*AC12,NA())</f>
        <v>#N/A</v>
      </c>
      <c r="AD24" s="60" t="e">
        <f>IF(SUM(AD23:$AG23)&gt;0,SUM($C23:AD23)*AD12,NA())</f>
        <v>#N/A</v>
      </c>
      <c r="AE24" s="60" t="e">
        <f>IF(SUM(AE23:$AG23)&gt;0,SUM($C23:AE23)*AE12,NA())</f>
        <v>#N/A</v>
      </c>
      <c r="AF24" s="60" t="e">
        <f>IF(SUM(AF23:$AG23)&gt;0,SUM($C23:AF23)*AF12,NA())</f>
        <v>#N/A</v>
      </c>
      <c r="AG24" s="60" t="e">
        <f>IF(SUM(AG23:$AG23)&gt;0,SUM($C23:AG23)*AG12,NA())</f>
        <v>#N/A</v>
      </c>
      <c r="AH24" s="61" t="e">
        <f>MAX(C24:AG24)</f>
        <v>#N/A</v>
      </c>
      <c r="AI24" s="70" t="s">
        <v>93</v>
      </c>
    </row>
    <row r="25" spans="1:35" ht="24.95" customHeight="1" x14ac:dyDescent="0.25">
      <c r="A25" s="366"/>
      <c r="B25" s="62" t="str">
        <f>Настройки!B5</f>
        <v>Соцсети</v>
      </c>
      <c r="C25" s="60">
        <f>SUMIF(Фактеризация!$C$1:$C$25,$B25,Фактеризация!D$1:D$25)</f>
        <v>0</v>
      </c>
      <c r="D25" s="60">
        <f>SUMIF(Фактеризация!$C$1:$C$25,$B25,Фактеризация!E$1:E$25)</f>
        <v>0</v>
      </c>
      <c r="E25" s="60">
        <f>SUMIF(Фактеризация!$C$1:$C$25,$B25,Фактеризация!F$1:F$25)</f>
        <v>0</v>
      </c>
      <c r="F25" s="60">
        <f>SUMIF(Фактеризация!$C$1:$C$25,$B25,Фактеризация!G$1:G$25)</f>
        <v>0</v>
      </c>
      <c r="G25" s="60">
        <f>SUMIF(Фактеризация!$C$1:$C$25,$B25,Фактеризация!H$1:H$25)</f>
        <v>0</v>
      </c>
      <c r="H25" s="60">
        <f>SUMIF(Фактеризация!$C$1:$C$25,$B25,Фактеризация!I$1:I$25)</f>
        <v>0</v>
      </c>
      <c r="I25" s="60">
        <f>SUMIF(Фактеризация!$C$1:$C$25,$B25,Фактеризация!J$1:J$25)</f>
        <v>0</v>
      </c>
      <c r="J25" s="60">
        <f>SUMIF(Фактеризация!$C$1:$C$25,$B25,Фактеризация!K$1:K$25)</f>
        <v>0</v>
      </c>
      <c r="K25" s="60">
        <f>SUMIF(Фактеризация!$C$1:$C$25,$B25,Фактеризация!L$1:L$25)</f>
        <v>0</v>
      </c>
      <c r="L25" s="60">
        <f>SUMIF(Фактеризация!$C$1:$C$25,$B25,Фактеризация!M$1:M$25)</f>
        <v>0</v>
      </c>
      <c r="M25" s="60">
        <f>SUMIF(Фактеризация!$C$1:$C$25,$B25,Фактеризация!N$1:N$25)</f>
        <v>0</v>
      </c>
      <c r="N25" s="60">
        <f>SUMIF(Фактеризация!$C$1:$C$25,$B25,Фактеризация!O$1:O$25)</f>
        <v>0</v>
      </c>
      <c r="O25" s="60">
        <f>SUMIF(Фактеризация!$C$1:$C$25,$B25,Фактеризация!P$1:P$25)</f>
        <v>0</v>
      </c>
      <c r="P25" s="60">
        <f>SUMIF(Фактеризация!$C$1:$C$25,$B25,Фактеризация!Q$1:Q$25)</f>
        <v>0</v>
      </c>
      <c r="Q25" s="60">
        <f>SUMIF(Фактеризация!$C$1:$C$25,$B25,Фактеризация!R$1:R$25)</f>
        <v>0</v>
      </c>
      <c r="R25" s="60">
        <f>SUMIF(Фактеризация!$C$1:$C$25,$B25,Фактеризация!S$1:S$25)</f>
        <v>0</v>
      </c>
      <c r="S25" s="60">
        <f>SUMIF(Фактеризация!$C$1:$C$25,$B25,Фактеризация!T$1:T$25)</f>
        <v>0</v>
      </c>
      <c r="T25" s="60">
        <f>SUMIF(Фактеризация!$C$1:$C$25,$B25,Фактеризация!U$1:U$25)</f>
        <v>0</v>
      </c>
      <c r="U25" s="60">
        <f>SUMIF(Фактеризация!$C$1:$C$25,$B25,Фактеризация!V$1:V$25)</f>
        <v>0</v>
      </c>
      <c r="V25" s="60">
        <f>SUMIF(Фактеризация!$C$1:$C$25,$B25,Фактеризация!W$1:W$25)</f>
        <v>0</v>
      </c>
      <c r="W25" s="60">
        <f>SUMIF(Фактеризация!$C$1:$C$25,$B25,Фактеризация!X$1:X$25)</f>
        <v>0</v>
      </c>
      <c r="X25" s="60">
        <f>SUMIF(Фактеризация!$C$1:$C$25,$B25,Фактеризация!Y$1:Y$25)</f>
        <v>0</v>
      </c>
      <c r="Y25" s="60">
        <f>SUMIF(Фактеризация!$C$1:$C$25,$B25,Фактеризация!Z$1:Z$25)</f>
        <v>0</v>
      </c>
      <c r="Z25" s="60">
        <f>SUMIF(Фактеризация!$C$1:$C$25,$B25,Фактеризация!AA$1:AA$25)</f>
        <v>0</v>
      </c>
      <c r="AA25" s="60">
        <f>SUMIF(Фактеризация!$C$1:$C$25,$B25,Фактеризация!AB$1:AB$25)</f>
        <v>0</v>
      </c>
      <c r="AB25" s="60">
        <f>SUMIF(Фактеризация!$C$1:$C$25,$B25,Фактеризация!AC$1:AC$25)</f>
        <v>0</v>
      </c>
      <c r="AC25" s="60">
        <f>SUMIF(Фактеризация!$C$1:$C$25,$B25,Фактеризация!AD$1:AD$25)</f>
        <v>0</v>
      </c>
      <c r="AD25" s="60">
        <f>SUMIF(Фактеризация!$C$1:$C$25,$B25,Фактеризация!AE$1:AE$25)</f>
        <v>0</v>
      </c>
      <c r="AE25" s="60">
        <f>SUMIF(Фактеризация!$C$1:$C$25,$B25,Фактеризация!AF$1:AF$25)</f>
        <v>0</v>
      </c>
      <c r="AF25" s="60">
        <f>SUMIF(Фактеризация!$C$1:$C$25,$B25,Фактеризация!AG$1:AG$25)</f>
        <v>0</v>
      </c>
      <c r="AG25" s="60">
        <f>SUMIF(Фактеризация!$C$1:$C$25,$B25,Фактеризация!AH$1:AH$25)</f>
        <v>0</v>
      </c>
      <c r="AH25" s="61">
        <f>SUMIF(Фактеризация!$C$1:$C$784,Служебный!B25,Фактеризация!$AI$1:$AI$784)</f>
        <v>0</v>
      </c>
      <c r="AI25" s="70" t="s">
        <v>92</v>
      </c>
    </row>
    <row r="26" spans="1:35" ht="24.95" customHeight="1" x14ac:dyDescent="0.25">
      <c r="A26" s="366"/>
      <c r="B26" s="62" t="str">
        <f>Настройки!B6</f>
        <v>Сайт (директ)</v>
      </c>
      <c r="C26" s="60">
        <f>SUMIF(Фактеризация!$C$1:$C$25,$B26,Фактеризация!D$1:D$25)</f>
        <v>0</v>
      </c>
      <c r="D26" s="60">
        <f>SUMIF(Фактеризация!$C$1:$C$25,$B26,Фактеризация!E$1:E$25)</f>
        <v>0</v>
      </c>
      <c r="E26" s="60">
        <f>SUMIF(Фактеризация!$C$1:$C$25,$B26,Фактеризация!F$1:F$25)</f>
        <v>0</v>
      </c>
      <c r="F26" s="60">
        <f>SUMIF(Фактеризация!$C$1:$C$25,$B26,Фактеризация!G$1:G$25)</f>
        <v>0</v>
      </c>
      <c r="G26" s="60">
        <f>SUMIF(Фактеризация!$C$1:$C$25,$B26,Фактеризация!H$1:H$25)</f>
        <v>0</v>
      </c>
      <c r="H26" s="60">
        <f>SUMIF(Фактеризация!$C$1:$C$25,$B26,Фактеризация!I$1:I$25)</f>
        <v>0</v>
      </c>
      <c r="I26" s="60">
        <f>SUMIF(Фактеризация!$C$1:$C$25,$B26,Фактеризация!J$1:J$25)</f>
        <v>0</v>
      </c>
      <c r="J26" s="60">
        <f>SUMIF(Фактеризация!$C$1:$C$25,$B26,Фактеризация!K$1:K$25)</f>
        <v>0</v>
      </c>
      <c r="K26" s="60">
        <f>SUMIF(Фактеризация!$C$1:$C$25,$B26,Фактеризация!L$1:L$25)</f>
        <v>0</v>
      </c>
      <c r="L26" s="60">
        <f>SUMIF(Фактеризация!$C$1:$C$25,$B26,Фактеризация!M$1:M$25)</f>
        <v>0</v>
      </c>
      <c r="M26" s="60">
        <f>SUMIF(Фактеризация!$C$1:$C$25,$B26,Фактеризация!N$1:N$25)</f>
        <v>0</v>
      </c>
      <c r="N26" s="60">
        <f>SUMIF(Фактеризация!$C$1:$C$25,$B26,Фактеризация!O$1:O$25)</f>
        <v>0</v>
      </c>
      <c r="O26" s="60">
        <f>SUMIF(Фактеризация!$C$1:$C$25,$B26,Фактеризация!P$1:P$25)</f>
        <v>0</v>
      </c>
      <c r="P26" s="60">
        <f>SUMIF(Фактеризация!$C$1:$C$25,$B26,Фактеризация!Q$1:Q$25)</f>
        <v>0</v>
      </c>
      <c r="Q26" s="60">
        <f>SUMIF(Фактеризация!$C$1:$C$25,$B26,Фактеризация!R$1:R$25)</f>
        <v>0</v>
      </c>
      <c r="R26" s="60">
        <f>SUMIF(Фактеризация!$C$1:$C$25,$B26,Фактеризация!S$1:S$25)</f>
        <v>0</v>
      </c>
      <c r="S26" s="60">
        <f>SUMIF(Фактеризация!$C$1:$C$25,$B26,Фактеризация!T$1:T$25)</f>
        <v>0</v>
      </c>
      <c r="T26" s="60">
        <f>SUMIF(Фактеризация!$C$1:$C$25,$B26,Фактеризация!U$1:U$25)</f>
        <v>0</v>
      </c>
      <c r="U26" s="60">
        <f>SUMIF(Фактеризация!$C$1:$C$25,$B26,Фактеризация!V$1:V$25)</f>
        <v>0</v>
      </c>
      <c r="V26" s="60">
        <f>SUMIF(Фактеризация!$C$1:$C$25,$B26,Фактеризация!W$1:W$25)</f>
        <v>0</v>
      </c>
      <c r="W26" s="60">
        <f>SUMIF(Фактеризация!$C$1:$C$25,$B26,Фактеризация!X$1:X$25)</f>
        <v>0</v>
      </c>
      <c r="X26" s="60">
        <f>SUMIF(Фактеризация!$C$1:$C$25,$B26,Фактеризация!Y$1:Y$25)</f>
        <v>0</v>
      </c>
      <c r="Y26" s="60">
        <f>SUMIF(Фактеризация!$C$1:$C$25,$B26,Фактеризация!Z$1:Z$25)</f>
        <v>0</v>
      </c>
      <c r="Z26" s="60">
        <f>SUMIF(Фактеризация!$C$1:$C$25,$B26,Фактеризация!AA$1:AA$25)</f>
        <v>0</v>
      </c>
      <c r="AA26" s="60">
        <f>SUMIF(Фактеризация!$C$1:$C$25,$B26,Фактеризация!AB$1:AB$25)</f>
        <v>0</v>
      </c>
      <c r="AB26" s="60">
        <f>SUMIF(Фактеризация!$C$1:$C$25,$B26,Фактеризация!AC$1:AC$25)</f>
        <v>0</v>
      </c>
      <c r="AC26" s="60">
        <f>SUMIF(Фактеризация!$C$1:$C$25,$B26,Фактеризация!AD$1:AD$25)</f>
        <v>0</v>
      </c>
      <c r="AD26" s="60">
        <f>SUMIF(Фактеризация!$C$1:$C$25,$B26,Фактеризация!AE$1:AE$25)</f>
        <v>0</v>
      </c>
      <c r="AE26" s="60">
        <f>SUMIF(Фактеризация!$C$1:$C$25,$B26,Фактеризация!AF$1:AF$25)</f>
        <v>0</v>
      </c>
      <c r="AF26" s="60">
        <f>SUMIF(Фактеризация!$C$1:$C$25,$B26,Фактеризация!AG$1:AG$25)</f>
        <v>0</v>
      </c>
      <c r="AG26" s="60">
        <f>SUMIF(Фактеризация!$C$1:$C$25,$B26,Фактеризация!AH$1:AH$25)</f>
        <v>0</v>
      </c>
      <c r="AH26" s="61">
        <f>SUMIF(Фактеризация!$C$1:$C$784,Служебный!B26,Фактеризация!$AI$1:$AI$784)</f>
        <v>0</v>
      </c>
      <c r="AI26" s="70" t="s">
        <v>92</v>
      </c>
    </row>
    <row r="27" spans="1:35" ht="24.95" customHeight="1" x14ac:dyDescent="0.25">
      <c r="A27" s="366"/>
      <c r="B27" s="62" t="str">
        <f>Настройки!B7</f>
        <v>Сайт (SEO)</v>
      </c>
      <c r="C27" s="60">
        <f>SUMIF(Фактеризация!$C$1:$C$25,$B27,Фактеризация!D$1:D$25)</f>
        <v>0</v>
      </c>
      <c r="D27" s="60">
        <f>SUMIF(Фактеризация!$C$1:$C$25,$B27,Фактеризация!E$1:E$25)</f>
        <v>0</v>
      </c>
      <c r="E27" s="60">
        <f>SUMIF(Фактеризация!$C$1:$C$25,$B27,Фактеризация!F$1:F$25)</f>
        <v>0</v>
      </c>
      <c r="F27" s="60">
        <f>SUMIF(Фактеризация!$C$1:$C$25,$B27,Фактеризация!G$1:G$25)</f>
        <v>0</v>
      </c>
      <c r="G27" s="60">
        <f>SUMIF(Фактеризация!$C$1:$C$25,$B27,Фактеризация!H$1:H$25)</f>
        <v>0</v>
      </c>
      <c r="H27" s="60">
        <f>SUMIF(Фактеризация!$C$1:$C$25,$B27,Фактеризация!I$1:I$25)</f>
        <v>0</v>
      </c>
      <c r="I27" s="60">
        <f>SUMIF(Фактеризация!$C$1:$C$25,$B27,Фактеризация!J$1:J$25)</f>
        <v>0</v>
      </c>
      <c r="J27" s="60">
        <f>SUMIF(Фактеризация!$C$1:$C$25,$B27,Фактеризация!K$1:K$25)</f>
        <v>0</v>
      </c>
      <c r="K27" s="60">
        <f>SUMIF(Фактеризация!$C$1:$C$25,$B27,Фактеризация!L$1:L$25)</f>
        <v>0</v>
      </c>
      <c r="L27" s="60">
        <f>SUMIF(Фактеризация!$C$1:$C$25,$B27,Фактеризация!M$1:M$25)</f>
        <v>0</v>
      </c>
      <c r="M27" s="60">
        <f>SUMIF(Фактеризация!$C$1:$C$25,$B27,Фактеризация!N$1:N$25)</f>
        <v>0</v>
      </c>
      <c r="N27" s="60">
        <f>SUMIF(Фактеризация!$C$1:$C$25,$B27,Фактеризация!O$1:O$25)</f>
        <v>0</v>
      </c>
      <c r="O27" s="60">
        <f>SUMIF(Фактеризация!$C$1:$C$25,$B27,Фактеризация!P$1:P$25)</f>
        <v>0</v>
      </c>
      <c r="P27" s="60">
        <f>SUMIF(Фактеризация!$C$1:$C$25,$B27,Фактеризация!Q$1:Q$25)</f>
        <v>0</v>
      </c>
      <c r="Q27" s="60">
        <f>SUMIF(Фактеризация!$C$1:$C$25,$B27,Фактеризация!R$1:R$25)</f>
        <v>0</v>
      </c>
      <c r="R27" s="60">
        <f>SUMIF(Фактеризация!$C$1:$C$25,$B27,Фактеризация!S$1:S$25)</f>
        <v>0</v>
      </c>
      <c r="S27" s="60">
        <f>SUMIF(Фактеризация!$C$1:$C$25,$B27,Фактеризация!T$1:T$25)</f>
        <v>0</v>
      </c>
      <c r="T27" s="60">
        <f>SUMIF(Фактеризация!$C$1:$C$25,$B27,Фактеризация!U$1:U$25)</f>
        <v>0</v>
      </c>
      <c r="U27" s="60">
        <f>SUMIF(Фактеризация!$C$1:$C$25,$B27,Фактеризация!V$1:V$25)</f>
        <v>0</v>
      </c>
      <c r="V27" s="60">
        <f>SUMIF(Фактеризация!$C$1:$C$25,$B27,Фактеризация!W$1:W$25)</f>
        <v>0</v>
      </c>
      <c r="W27" s="60">
        <f>SUMIF(Фактеризация!$C$1:$C$25,$B27,Фактеризация!X$1:X$25)</f>
        <v>0</v>
      </c>
      <c r="X27" s="60">
        <f>SUMIF(Фактеризация!$C$1:$C$25,$B27,Фактеризация!Y$1:Y$25)</f>
        <v>0</v>
      </c>
      <c r="Y27" s="60">
        <f>SUMIF(Фактеризация!$C$1:$C$25,$B27,Фактеризация!Z$1:Z$25)</f>
        <v>0</v>
      </c>
      <c r="Z27" s="60">
        <f>SUMIF(Фактеризация!$C$1:$C$25,$B27,Фактеризация!AA$1:AA$25)</f>
        <v>0</v>
      </c>
      <c r="AA27" s="60">
        <f>SUMIF(Фактеризация!$C$1:$C$25,$B27,Фактеризация!AB$1:AB$25)</f>
        <v>0</v>
      </c>
      <c r="AB27" s="60">
        <f>SUMIF(Фактеризация!$C$1:$C$25,$B27,Фактеризация!AC$1:AC$25)</f>
        <v>0</v>
      </c>
      <c r="AC27" s="60">
        <f>SUMIF(Фактеризация!$C$1:$C$25,$B27,Фактеризация!AD$1:AD$25)</f>
        <v>0</v>
      </c>
      <c r="AD27" s="60">
        <f>SUMIF(Фактеризация!$C$1:$C$25,$B27,Фактеризация!AE$1:AE$25)</f>
        <v>0</v>
      </c>
      <c r="AE27" s="60">
        <f>SUMIF(Фактеризация!$C$1:$C$25,$B27,Фактеризация!AF$1:AF$25)</f>
        <v>0</v>
      </c>
      <c r="AF27" s="60">
        <f>SUMIF(Фактеризация!$C$1:$C$25,$B27,Фактеризация!AG$1:AG$25)</f>
        <v>0</v>
      </c>
      <c r="AG27" s="60">
        <f>SUMIF(Фактеризация!$C$1:$C$25,$B27,Фактеризация!AH$1:AH$25)</f>
        <v>0</v>
      </c>
      <c r="AH27" s="61">
        <f>SUMIF(Фактеризация!$C$1:$C$784,Служебный!B27,Фактеризация!$AI$1:$AI$784)</f>
        <v>0</v>
      </c>
      <c r="AI27" s="70" t="s">
        <v>92</v>
      </c>
    </row>
    <row r="28" spans="1:35" ht="24.95" customHeight="1" x14ac:dyDescent="0.25">
      <c r="A28" s="366"/>
      <c r="B28" s="62" t="str">
        <f>Настройки!B8</f>
        <v>Instagram</v>
      </c>
      <c r="C28" s="60">
        <f>SUMIF(Фактеризация!$C$1:$C$25,$B28,Фактеризация!D$1:D$25)</f>
        <v>0</v>
      </c>
      <c r="D28" s="60">
        <f>SUMIF(Фактеризация!$C$1:$C$25,$B28,Фактеризация!E$1:E$25)</f>
        <v>0</v>
      </c>
      <c r="E28" s="60">
        <f>SUMIF(Фактеризация!$C$1:$C$25,$B28,Фактеризация!F$1:F$25)</f>
        <v>0</v>
      </c>
      <c r="F28" s="60">
        <f>SUMIF(Фактеризация!$C$1:$C$25,$B28,Фактеризация!G$1:G$25)</f>
        <v>0</v>
      </c>
      <c r="G28" s="60">
        <f>SUMIF(Фактеризация!$C$1:$C$25,$B28,Фактеризация!H$1:H$25)</f>
        <v>0</v>
      </c>
      <c r="H28" s="60">
        <f>SUMIF(Фактеризация!$C$1:$C$25,$B28,Фактеризация!I$1:I$25)</f>
        <v>0</v>
      </c>
      <c r="I28" s="60">
        <f>SUMIF(Фактеризация!$C$1:$C$25,$B28,Фактеризация!J$1:J$25)</f>
        <v>0</v>
      </c>
      <c r="J28" s="60">
        <f>SUMIF(Фактеризация!$C$1:$C$25,$B28,Фактеризация!K$1:K$25)</f>
        <v>0</v>
      </c>
      <c r="K28" s="60">
        <f>SUMIF(Фактеризация!$C$1:$C$25,$B28,Фактеризация!L$1:L$25)</f>
        <v>0</v>
      </c>
      <c r="L28" s="60">
        <f>SUMIF(Фактеризация!$C$1:$C$25,$B28,Фактеризация!M$1:M$25)</f>
        <v>0</v>
      </c>
      <c r="M28" s="60">
        <f>SUMIF(Фактеризация!$C$1:$C$25,$B28,Фактеризация!N$1:N$25)</f>
        <v>0</v>
      </c>
      <c r="N28" s="60">
        <f>SUMIF(Фактеризация!$C$1:$C$25,$B28,Фактеризация!O$1:O$25)</f>
        <v>0</v>
      </c>
      <c r="O28" s="60">
        <f>SUMIF(Фактеризация!$C$1:$C$25,$B28,Фактеризация!P$1:P$25)</f>
        <v>0</v>
      </c>
      <c r="P28" s="60">
        <f>SUMIF(Фактеризация!$C$1:$C$25,$B28,Фактеризация!Q$1:Q$25)</f>
        <v>0</v>
      </c>
      <c r="Q28" s="60">
        <f>SUMIF(Фактеризация!$C$1:$C$25,$B28,Фактеризация!R$1:R$25)</f>
        <v>0</v>
      </c>
      <c r="R28" s="60">
        <f>SUMIF(Фактеризация!$C$1:$C$25,$B28,Фактеризация!S$1:S$25)</f>
        <v>0</v>
      </c>
      <c r="S28" s="60">
        <f>SUMIF(Фактеризация!$C$1:$C$25,$B28,Фактеризация!T$1:T$25)</f>
        <v>0</v>
      </c>
      <c r="T28" s="60">
        <f>SUMIF(Фактеризация!$C$1:$C$25,$B28,Фактеризация!U$1:U$25)</f>
        <v>0</v>
      </c>
      <c r="U28" s="60">
        <f>SUMIF(Фактеризация!$C$1:$C$25,$B28,Фактеризация!V$1:V$25)</f>
        <v>0</v>
      </c>
      <c r="V28" s="60">
        <f>SUMIF(Фактеризация!$C$1:$C$25,$B28,Фактеризация!W$1:W$25)</f>
        <v>0</v>
      </c>
      <c r="W28" s="60">
        <f>SUMIF(Фактеризация!$C$1:$C$25,$B28,Фактеризация!X$1:X$25)</f>
        <v>0</v>
      </c>
      <c r="X28" s="60">
        <f>SUMIF(Фактеризация!$C$1:$C$25,$B28,Фактеризация!Y$1:Y$25)</f>
        <v>0</v>
      </c>
      <c r="Y28" s="60">
        <f>SUMIF(Фактеризация!$C$1:$C$25,$B28,Фактеризация!Z$1:Z$25)</f>
        <v>0</v>
      </c>
      <c r="Z28" s="60">
        <f>SUMIF(Фактеризация!$C$1:$C$25,$B28,Фактеризация!AA$1:AA$25)</f>
        <v>0</v>
      </c>
      <c r="AA28" s="60">
        <f>SUMIF(Фактеризация!$C$1:$C$25,$B28,Фактеризация!AB$1:AB$25)</f>
        <v>0</v>
      </c>
      <c r="AB28" s="60">
        <f>SUMIF(Фактеризация!$C$1:$C$25,$B28,Фактеризация!AC$1:AC$25)</f>
        <v>0</v>
      </c>
      <c r="AC28" s="60">
        <f>SUMIF(Фактеризация!$C$1:$C$25,$B28,Фактеризация!AD$1:AD$25)</f>
        <v>0</v>
      </c>
      <c r="AD28" s="60">
        <f>SUMIF(Фактеризация!$C$1:$C$25,$B28,Фактеризация!AE$1:AE$25)</f>
        <v>0</v>
      </c>
      <c r="AE28" s="60">
        <f>SUMIF(Фактеризация!$C$1:$C$25,$B28,Фактеризация!AF$1:AF$25)</f>
        <v>0</v>
      </c>
      <c r="AF28" s="60">
        <f>SUMIF(Фактеризация!$C$1:$C$25,$B28,Фактеризация!AG$1:AG$25)</f>
        <v>0</v>
      </c>
      <c r="AG28" s="60">
        <f>SUMIF(Фактеризация!$C$1:$C$25,$B28,Фактеризация!AH$1:AH$25)</f>
        <v>0</v>
      </c>
      <c r="AH28" s="61">
        <f>SUMIF(Фактеризация!$C$1:$C$784,Служебный!B28,Фактеризация!$AI$1:$AI$784)</f>
        <v>0</v>
      </c>
      <c r="AI28" s="70" t="s">
        <v>92</v>
      </c>
    </row>
    <row r="29" spans="1:35" ht="24.95" customHeight="1" x14ac:dyDescent="0.25">
      <c r="A29" s="366"/>
      <c r="B29" s="62" t="str">
        <f>Настройки!B9</f>
        <v>Зашли с улицы</v>
      </c>
      <c r="C29" s="60">
        <f>SUMIF(Фактеризация!$C$1:$C$25,$B29,Фактеризация!D$1:D$25)</f>
        <v>0</v>
      </c>
      <c r="D29" s="60">
        <f>SUMIF(Фактеризация!$C$1:$C$25,$B29,Фактеризация!E$1:E$25)</f>
        <v>0</v>
      </c>
      <c r="E29" s="60">
        <f>SUMIF(Фактеризация!$C$1:$C$25,$B29,Фактеризация!F$1:F$25)</f>
        <v>0</v>
      </c>
      <c r="F29" s="60">
        <f>SUMIF(Фактеризация!$C$1:$C$25,$B29,Фактеризация!G$1:G$25)</f>
        <v>0</v>
      </c>
      <c r="G29" s="60">
        <f>SUMIF(Фактеризация!$C$1:$C$25,$B29,Фактеризация!H$1:H$25)</f>
        <v>0</v>
      </c>
      <c r="H29" s="60">
        <f>SUMIF(Фактеризация!$C$1:$C$25,$B29,Фактеризация!I$1:I$25)</f>
        <v>0</v>
      </c>
      <c r="I29" s="60">
        <f>SUMIF(Фактеризация!$C$1:$C$25,$B29,Фактеризация!J$1:J$25)</f>
        <v>0</v>
      </c>
      <c r="J29" s="60">
        <f>SUMIF(Фактеризация!$C$1:$C$25,$B29,Фактеризация!K$1:K$25)</f>
        <v>0</v>
      </c>
      <c r="K29" s="60">
        <f>SUMIF(Фактеризация!$C$1:$C$25,$B29,Фактеризация!L$1:L$25)</f>
        <v>0</v>
      </c>
      <c r="L29" s="60">
        <f>SUMIF(Фактеризация!$C$1:$C$25,$B29,Фактеризация!M$1:M$25)</f>
        <v>0</v>
      </c>
      <c r="M29" s="60">
        <f>SUMIF(Фактеризация!$C$1:$C$25,$B29,Фактеризация!N$1:N$25)</f>
        <v>0</v>
      </c>
      <c r="N29" s="60">
        <f>SUMIF(Фактеризация!$C$1:$C$25,$B29,Фактеризация!O$1:O$25)</f>
        <v>0</v>
      </c>
      <c r="O29" s="60">
        <f>SUMIF(Фактеризация!$C$1:$C$25,$B29,Фактеризация!P$1:P$25)</f>
        <v>0</v>
      </c>
      <c r="P29" s="60">
        <f>SUMIF(Фактеризация!$C$1:$C$25,$B29,Фактеризация!Q$1:Q$25)</f>
        <v>0</v>
      </c>
      <c r="Q29" s="60">
        <f>SUMIF(Фактеризация!$C$1:$C$25,$B29,Фактеризация!R$1:R$25)</f>
        <v>0</v>
      </c>
      <c r="R29" s="60">
        <f>SUMIF(Фактеризация!$C$1:$C$25,$B29,Фактеризация!S$1:S$25)</f>
        <v>0</v>
      </c>
      <c r="S29" s="60">
        <f>SUMIF(Фактеризация!$C$1:$C$25,$B29,Фактеризация!T$1:T$25)</f>
        <v>0</v>
      </c>
      <c r="T29" s="60">
        <f>SUMIF(Фактеризация!$C$1:$C$25,$B29,Фактеризация!U$1:U$25)</f>
        <v>0</v>
      </c>
      <c r="U29" s="60">
        <f>SUMIF(Фактеризация!$C$1:$C$25,$B29,Фактеризация!V$1:V$25)</f>
        <v>0</v>
      </c>
      <c r="V29" s="60">
        <f>SUMIF(Фактеризация!$C$1:$C$25,$B29,Фактеризация!W$1:W$25)</f>
        <v>0</v>
      </c>
      <c r="W29" s="60">
        <f>SUMIF(Фактеризация!$C$1:$C$25,$B29,Фактеризация!X$1:X$25)</f>
        <v>0</v>
      </c>
      <c r="X29" s="60">
        <f>SUMIF(Фактеризация!$C$1:$C$25,$B29,Фактеризация!Y$1:Y$25)</f>
        <v>0</v>
      </c>
      <c r="Y29" s="60">
        <f>SUMIF(Фактеризация!$C$1:$C$25,$B29,Фактеризация!Z$1:Z$25)</f>
        <v>0</v>
      </c>
      <c r="Z29" s="60">
        <f>SUMIF(Фактеризация!$C$1:$C$25,$B29,Фактеризация!AA$1:AA$25)</f>
        <v>0</v>
      </c>
      <c r="AA29" s="60">
        <f>SUMIF(Фактеризация!$C$1:$C$25,$B29,Фактеризация!AB$1:AB$25)</f>
        <v>0</v>
      </c>
      <c r="AB29" s="60">
        <f>SUMIF(Фактеризация!$C$1:$C$25,$B29,Фактеризация!AC$1:AC$25)</f>
        <v>0</v>
      </c>
      <c r="AC29" s="60">
        <f>SUMIF(Фактеризация!$C$1:$C$25,$B29,Фактеризация!AD$1:AD$25)</f>
        <v>0</v>
      </c>
      <c r="AD29" s="60">
        <f>SUMIF(Фактеризация!$C$1:$C$25,$B29,Фактеризация!AE$1:AE$25)</f>
        <v>0</v>
      </c>
      <c r="AE29" s="60">
        <f>SUMIF(Фактеризация!$C$1:$C$25,$B29,Фактеризация!AF$1:AF$25)</f>
        <v>0</v>
      </c>
      <c r="AF29" s="60">
        <f>SUMIF(Фактеризация!$C$1:$C$25,$B29,Фактеризация!AG$1:AG$25)</f>
        <v>0</v>
      </c>
      <c r="AG29" s="60">
        <f>SUMIF(Фактеризация!$C$1:$C$25,$B29,Фактеризация!AH$1:AH$25)</f>
        <v>0</v>
      </c>
      <c r="AH29" s="61">
        <f>SUMIF(Фактеризация!$C$1:$C$784,Служебный!B29,Фактеризация!$AI$1:$AI$784)</f>
        <v>0</v>
      </c>
      <c r="AI29" s="70" t="s">
        <v>92</v>
      </c>
    </row>
    <row r="30" spans="1:35" ht="24.95" customHeight="1" x14ac:dyDescent="0.25">
      <c r="A30" s="366"/>
      <c r="B30" s="62" t="str">
        <f>Настройки!B10</f>
        <v>По рекомендации</v>
      </c>
      <c r="C30" s="60">
        <f>SUMIF(Фактеризация!$C$1:$C$25,$B30,Фактеризация!D$1:D$25)</f>
        <v>0</v>
      </c>
      <c r="D30" s="60">
        <f>SUMIF(Фактеризация!$C$1:$C$25,$B30,Фактеризация!E$1:E$25)</f>
        <v>0</v>
      </c>
      <c r="E30" s="60">
        <f>SUMIF(Фактеризация!$C$1:$C$25,$B30,Фактеризация!F$1:F$25)</f>
        <v>0</v>
      </c>
      <c r="F30" s="60">
        <f>SUMIF(Фактеризация!$C$1:$C$25,$B30,Фактеризация!G$1:G$25)</f>
        <v>0</v>
      </c>
      <c r="G30" s="60">
        <f>SUMIF(Фактеризация!$C$1:$C$25,$B30,Фактеризация!H$1:H$25)</f>
        <v>0</v>
      </c>
      <c r="H30" s="60">
        <f>SUMIF(Фактеризация!$C$1:$C$25,$B30,Фактеризация!I$1:I$25)</f>
        <v>0</v>
      </c>
      <c r="I30" s="60">
        <f>SUMIF(Фактеризация!$C$1:$C$25,$B30,Фактеризация!J$1:J$25)</f>
        <v>0</v>
      </c>
      <c r="J30" s="60">
        <f>SUMIF(Фактеризация!$C$1:$C$25,$B30,Фактеризация!K$1:K$25)</f>
        <v>0</v>
      </c>
      <c r="K30" s="60">
        <f>SUMIF(Фактеризация!$C$1:$C$25,$B30,Фактеризация!L$1:L$25)</f>
        <v>0</v>
      </c>
      <c r="L30" s="60">
        <f>SUMIF(Фактеризация!$C$1:$C$25,$B30,Фактеризация!M$1:M$25)</f>
        <v>0</v>
      </c>
      <c r="M30" s="60">
        <f>SUMIF(Фактеризация!$C$1:$C$25,$B30,Фактеризация!N$1:N$25)</f>
        <v>0</v>
      </c>
      <c r="N30" s="60">
        <f>SUMIF(Фактеризация!$C$1:$C$25,$B30,Фактеризация!O$1:O$25)</f>
        <v>0</v>
      </c>
      <c r="O30" s="60">
        <f>SUMIF(Фактеризация!$C$1:$C$25,$B30,Фактеризация!P$1:P$25)</f>
        <v>0</v>
      </c>
      <c r="P30" s="60">
        <f>SUMIF(Фактеризация!$C$1:$C$25,$B30,Фактеризация!Q$1:Q$25)</f>
        <v>0</v>
      </c>
      <c r="Q30" s="60">
        <f>SUMIF(Фактеризация!$C$1:$C$25,$B30,Фактеризация!R$1:R$25)</f>
        <v>0</v>
      </c>
      <c r="R30" s="60">
        <f>SUMIF(Фактеризация!$C$1:$C$25,$B30,Фактеризация!S$1:S$25)</f>
        <v>0</v>
      </c>
      <c r="S30" s="60">
        <f>SUMIF(Фактеризация!$C$1:$C$25,$B30,Фактеризация!T$1:T$25)</f>
        <v>0</v>
      </c>
      <c r="T30" s="60">
        <f>SUMIF(Фактеризация!$C$1:$C$25,$B30,Фактеризация!U$1:U$25)</f>
        <v>0</v>
      </c>
      <c r="U30" s="60">
        <f>SUMIF(Фактеризация!$C$1:$C$25,$B30,Фактеризация!V$1:V$25)</f>
        <v>0</v>
      </c>
      <c r="V30" s="60">
        <f>SUMIF(Фактеризация!$C$1:$C$25,$B30,Фактеризация!W$1:W$25)</f>
        <v>0</v>
      </c>
      <c r="W30" s="60">
        <f>SUMIF(Фактеризация!$C$1:$C$25,$B30,Фактеризация!X$1:X$25)</f>
        <v>0</v>
      </c>
      <c r="X30" s="60">
        <f>SUMIF(Фактеризация!$C$1:$C$25,$B30,Фактеризация!Y$1:Y$25)</f>
        <v>0</v>
      </c>
      <c r="Y30" s="60">
        <f>SUMIF(Фактеризация!$C$1:$C$25,$B30,Фактеризация!Z$1:Z$25)</f>
        <v>0</v>
      </c>
      <c r="Z30" s="60">
        <f>SUMIF(Фактеризация!$C$1:$C$25,$B30,Фактеризация!AA$1:AA$25)</f>
        <v>0</v>
      </c>
      <c r="AA30" s="60">
        <f>SUMIF(Фактеризация!$C$1:$C$25,$B30,Фактеризация!AB$1:AB$25)</f>
        <v>0</v>
      </c>
      <c r="AB30" s="60">
        <f>SUMIF(Фактеризация!$C$1:$C$25,$B30,Фактеризация!AC$1:AC$25)</f>
        <v>0</v>
      </c>
      <c r="AC30" s="60">
        <f>SUMIF(Фактеризация!$C$1:$C$25,$B30,Фактеризация!AD$1:AD$25)</f>
        <v>0</v>
      </c>
      <c r="AD30" s="60">
        <f>SUMIF(Фактеризация!$C$1:$C$25,$B30,Фактеризация!AE$1:AE$25)</f>
        <v>0</v>
      </c>
      <c r="AE30" s="60">
        <f>SUMIF(Фактеризация!$C$1:$C$25,$B30,Фактеризация!AF$1:AF$25)</f>
        <v>0</v>
      </c>
      <c r="AF30" s="60">
        <f>SUMIF(Фактеризация!$C$1:$C$25,$B30,Фактеризация!AG$1:AG$25)</f>
        <v>0</v>
      </c>
      <c r="AG30" s="60">
        <f>SUMIF(Фактеризация!$C$1:$C$25,$B30,Фактеризация!AH$1:AH$25)</f>
        <v>0</v>
      </c>
      <c r="AH30" s="61">
        <f>SUMIF(Фактеризация!$C$1:$C$784,Служебный!B30,Фактеризация!$AI$1:$AI$784)</f>
        <v>0</v>
      </c>
      <c r="AI30" s="70" t="s">
        <v>92</v>
      </c>
    </row>
    <row r="31" spans="1:35" ht="24.95" customHeight="1" x14ac:dyDescent="0.25">
      <c r="A31" s="366"/>
      <c r="B31" s="62" t="str">
        <f>Настройки!B11</f>
        <v>Постоянные клиенты</v>
      </c>
      <c r="C31" s="60">
        <f>SUMIF(Фактеризация!$C$1:$C$25,$B31,Фактеризация!D$1:D$25)</f>
        <v>0</v>
      </c>
      <c r="D31" s="60">
        <f>SUMIF(Фактеризация!$C$1:$C$25,$B31,Фактеризация!E$1:E$25)</f>
        <v>0</v>
      </c>
      <c r="E31" s="60">
        <f>SUMIF(Фактеризация!$C$1:$C$25,$B31,Фактеризация!F$1:F$25)</f>
        <v>0</v>
      </c>
      <c r="F31" s="60">
        <f>SUMIF(Фактеризация!$C$1:$C$25,$B31,Фактеризация!G$1:G$25)</f>
        <v>0</v>
      </c>
      <c r="G31" s="60">
        <f>SUMIF(Фактеризация!$C$1:$C$25,$B31,Фактеризация!H$1:H$25)</f>
        <v>0</v>
      </c>
      <c r="H31" s="60">
        <f>SUMIF(Фактеризация!$C$1:$C$25,$B31,Фактеризация!I$1:I$25)</f>
        <v>0</v>
      </c>
      <c r="I31" s="60">
        <f>SUMIF(Фактеризация!$C$1:$C$25,$B31,Фактеризация!J$1:J$25)</f>
        <v>0</v>
      </c>
      <c r="J31" s="60">
        <f>SUMIF(Фактеризация!$C$1:$C$25,$B31,Фактеризация!K$1:K$25)</f>
        <v>0</v>
      </c>
      <c r="K31" s="60">
        <f>SUMIF(Фактеризация!$C$1:$C$25,$B31,Фактеризация!L$1:L$25)</f>
        <v>0</v>
      </c>
      <c r="L31" s="60">
        <f>SUMIF(Фактеризация!$C$1:$C$25,$B31,Фактеризация!M$1:M$25)</f>
        <v>0</v>
      </c>
      <c r="M31" s="60">
        <f>SUMIF(Фактеризация!$C$1:$C$25,$B31,Фактеризация!N$1:N$25)</f>
        <v>0</v>
      </c>
      <c r="N31" s="60">
        <f>SUMIF(Фактеризация!$C$1:$C$25,$B31,Фактеризация!O$1:O$25)</f>
        <v>0</v>
      </c>
      <c r="O31" s="60">
        <f>SUMIF(Фактеризация!$C$1:$C$25,$B31,Фактеризация!P$1:P$25)</f>
        <v>0</v>
      </c>
      <c r="P31" s="60">
        <f>SUMIF(Фактеризация!$C$1:$C$25,$B31,Фактеризация!Q$1:Q$25)</f>
        <v>0</v>
      </c>
      <c r="Q31" s="60">
        <f>SUMIF(Фактеризация!$C$1:$C$25,$B31,Фактеризация!R$1:R$25)</f>
        <v>0</v>
      </c>
      <c r="R31" s="60">
        <f>SUMIF(Фактеризация!$C$1:$C$25,$B31,Фактеризация!S$1:S$25)</f>
        <v>0</v>
      </c>
      <c r="S31" s="60">
        <f>SUMIF(Фактеризация!$C$1:$C$25,$B31,Фактеризация!T$1:T$25)</f>
        <v>0</v>
      </c>
      <c r="T31" s="60">
        <f>SUMIF(Фактеризация!$C$1:$C$25,$B31,Фактеризация!U$1:U$25)</f>
        <v>0</v>
      </c>
      <c r="U31" s="60">
        <f>SUMIF(Фактеризация!$C$1:$C$25,$B31,Фактеризация!V$1:V$25)</f>
        <v>0</v>
      </c>
      <c r="V31" s="60">
        <f>SUMIF(Фактеризация!$C$1:$C$25,$B31,Фактеризация!W$1:W$25)</f>
        <v>0</v>
      </c>
      <c r="W31" s="60">
        <f>SUMIF(Фактеризация!$C$1:$C$25,$B31,Фактеризация!X$1:X$25)</f>
        <v>0</v>
      </c>
      <c r="X31" s="60">
        <f>SUMIF(Фактеризация!$C$1:$C$25,$B31,Фактеризация!Y$1:Y$25)</f>
        <v>0</v>
      </c>
      <c r="Y31" s="60">
        <f>SUMIF(Фактеризация!$C$1:$C$25,$B31,Фактеризация!Z$1:Z$25)</f>
        <v>0</v>
      </c>
      <c r="Z31" s="60">
        <f>SUMIF(Фактеризация!$C$1:$C$25,$B31,Фактеризация!AA$1:AA$25)</f>
        <v>0</v>
      </c>
      <c r="AA31" s="60">
        <f>SUMIF(Фактеризация!$C$1:$C$25,$B31,Фактеризация!AB$1:AB$25)</f>
        <v>0</v>
      </c>
      <c r="AB31" s="60">
        <f>SUMIF(Фактеризация!$C$1:$C$25,$B31,Фактеризация!AC$1:AC$25)</f>
        <v>0</v>
      </c>
      <c r="AC31" s="60">
        <f>SUMIF(Фактеризация!$C$1:$C$25,$B31,Фактеризация!AD$1:AD$25)</f>
        <v>0</v>
      </c>
      <c r="AD31" s="60">
        <f>SUMIF(Фактеризация!$C$1:$C$25,$B31,Фактеризация!AE$1:AE$25)</f>
        <v>0</v>
      </c>
      <c r="AE31" s="60">
        <f>SUMIF(Фактеризация!$C$1:$C$25,$B31,Фактеризация!AF$1:AF$25)</f>
        <v>0</v>
      </c>
      <c r="AF31" s="60">
        <f>SUMIF(Фактеризация!$C$1:$C$25,$B31,Фактеризация!AG$1:AG$25)</f>
        <v>0</v>
      </c>
      <c r="AG31" s="60">
        <f>SUMIF(Фактеризация!$C$1:$C$25,$B31,Фактеризация!AH$1:AH$25)</f>
        <v>0</v>
      </c>
      <c r="AH31" s="61">
        <f>SUMIF(Фактеризация!$C$1:$C$784,Служебный!B31,Фактеризация!$AI$1:$AI$784)</f>
        <v>0</v>
      </c>
      <c r="AI31" s="70" t="s">
        <v>92</v>
      </c>
    </row>
    <row r="32" spans="1:35" ht="24.95" customHeight="1" thickBot="1" x14ac:dyDescent="0.3">
      <c r="A32" s="367"/>
      <c r="B32" s="62" t="s">
        <v>87</v>
      </c>
      <c r="C32" s="60">
        <f>SUM(C25:C31)</f>
        <v>0</v>
      </c>
      <c r="D32" s="60">
        <f t="shared" ref="D32:AG32" si="6">SUM(D25:D31)</f>
        <v>0</v>
      </c>
      <c r="E32" s="60">
        <f t="shared" si="6"/>
        <v>0</v>
      </c>
      <c r="F32" s="60">
        <f t="shared" si="6"/>
        <v>0</v>
      </c>
      <c r="G32" s="60">
        <f t="shared" si="6"/>
        <v>0</v>
      </c>
      <c r="H32" s="60">
        <f t="shared" si="6"/>
        <v>0</v>
      </c>
      <c r="I32" s="60">
        <f t="shared" si="6"/>
        <v>0</v>
      </c>
      <c r="J32" s="60">
        <f t="shared" si="6"/>
        <v>0</v>
      </c>
      <c r="K32" s="60">
        <f t="shared" si="6"/>
        <v>0</v>
      </c>
      <c r="L32" s="60">
        <f t="shared" si="6"/>
        <v>0</v>
      </c>
      <c r="M32" s="60">
        <f t="shared" si="6"/>
        <v>0</v>
      </c>
      <c r="N32" s="60">
        <f t="shared" si="6"/>
        <v>0</v>
      </c>
      <c r="O32" s="60">
        <f t="shared" si="6"/>
        <v>0</v>
      </c>
      <c r="P32" s="60">
        <f t="shared" si="6"/>
        <v>0</v>
      </c>
      <c r="Q32" s="60">
        <f t="shared" si="6"/>
        <v>0</v>
      </c>
      <c r="R32" s="60">
        <f t="shared" si="6"/>
        <v>0</v>
      </c>
      <c r="S32" s="60">
        <f t="shared" si="6"/>
        <v>0</v>
      </c>
      <c r="T32" s="60">
        <f t="shared" si="6"/>
        <v>0</v>
      </c>
      <c r="U32" s="60">
        <f t="shared" si="6"/>
        <v>0</v>
      </c>
      <c r="V32" s="60">
        <f t="shared" si="6"/>
        <v>0</v>
      </c>
      <c r="W32" s="60">
        <f t="shared" si="6"/>
        <v>0</v>
      </c>
      <c r="X32" s="60">
        <f t="shared" si="6"/>
        <v>0</v>
      </c>
      <c r="Y32" s="60">
        <f t="shared" si="6"/>
        <v>0</v>
      </c>
      <c r="Z32" s="60">
        <f t="shared" si="6"/>
        <v>0</v>
      </c>
      <c r="AA32" s="60">
        <f t="shared" si="6"/>
        <v>0</v>
      </c>
      <c r="AB32" s="60">
        <f t="shared" si="6"/>
        <v>0</v>
      </c>
      <c r="AC32" s="60">
        <f t="shared" si="6"/>
        <v>0</v>
      </c>
      <c r="AD32" s="60">
        <f t="shared" si="6"/>
        <v>0</v>
      </c>
      <c r="AE32" s="60">
        <f t="shared" si="6"/>
        <v>0</v>
      </c>
      <c r="AF32" s="60">
        <f t="shared" si="6"/>
        <v>0</v>
      </c>
      <c r="AG32" s="60">
        <f t="shared" si="6"/>
        <v>0</v>
      </c>
      <c r="AH32" s="61">
        <f>SUM(AH25:AH31)</f>
        <v>0</v>
      </c>
      <c r="AI32" s="70" t="s">
        <v>92</v>
      </c>
    </row>
  </sheetData>
  <mergeCells count="1">
    <mergeCell ref="A13:A32"/>
  </mergeCells>
  <conditionalFormatting sqref="K23:AG23 K25:AG32 K14:AG18 K20:AD20">
    <cfRule type="expression" dxfId="18" priority="24">
      <formula>Дни_1&lt;L$5</formula>
    </cfRule>
  </conditionalFormatting>
  <conditionalFormatting sqref="AE20:AG20">
    <cfRule type="expression" dxfId="17" priority="13">
      <formula>Дни_1&lt;AF$5</formula>
    </cfRule>
  </conditionalFormatting>
  <conditionalFormatting sqref="D13:AG13 C13:C20 D19:AG19 C23:C32">
    <cfRule type="expression" dxfId="16" priority="698">
      <formula>Дни_1&lt;#REF!</formula>
    </cfRule>
  </conditionalFormatting>
  <conditionalFormatting sqref="D14:D18 D20 D23:D32 E24:AG24">
    <cfRule type="expression" dxfId="15" priority="700">
      <formula>Дни_1&lt;E$4</formula>
    </cfRule>
  </conditionalFormatting>
  <conditionalFormatting sqref="E14:E18 E20 E23 E25:E32">
    <cfRule type="expression" dxfId="14" priority="702">
      <formula>Дни_1&lt;E$5</formula>
    </cfRule>
  </conditionalFormatting>
  <conditionalFormatting sqref="F14:F18 F20 F23 F25:F32">
    <cfRule type="expression" dxfId="13" priority="704">
      <formula>Дни_1&lt;E$6</formula>
    </cfRule>
  </conditionalFormatting>
  <conditionalFormatting sqref="H14:H18 H20 H23 H25:H32">
    <cfRule type="expression" dxfId="12" priority="706">
      <formula>Дни_1&lt;H$4</formula>
    </cfRule>
  </conditionalFormatting>
  <conditionalFormatting sqref="I14:I18 I20 I23 I25:I32">
    <cfRule type="expression" dxfId="11" priority="708">
      <formula>Дни_1&lt;H$5</formula>
    </cfRule>
  </conditionalFormatting>
  <conditionalFormatting sqref="G14:G18 G20 G23 G25:G32">
    <cfRule type="expression" dxfId="10" priority="715">
      <formula>Дни_1&lt;#REF!</formula>
    </cfRule>
  </conditionalFormatting>
  <conditionalFormatting sqref="J14:J18 J20 J23 J25:J32">
    <cfRule type="expression" dxfId="9" priority="717">
      <formula>Дни_1&lt;H$6</formula>
    </cfRule>
  </conditionalFormatting>
  <conditionalFormatting sqref="K21:AG22">
    <cfRule type="expression" dxfId="8" priority="1">
      <formula>Дни_1&lt;L$5</formula>
    </cfRule>
  </conditionalFormatting>
  <conditionalFormatting sqref="C21:C22">
    <cfRule type="expression" dxfId="7" priority="2">
      <formula>Дни_1&lt;#REF!</formula>
    </cfRule>
  </conditionalFormatting>
  <conditionalFormatting sqref="D21:D22">
    <cfRule type="expression" dxfId="6" priority="3">
      <formula>Дни_1&lt;E$4</formula>
    </cfRule>
  </conditionalFormatting>
  <conditionalFormatting sqref="E21:E22">
    <cfRule type="expression" dxfId="5" priority="4">
      <formula>Дни_1&lt;E$5</formula>
    </cfRule>
  </conditionalFormatting>
  <conditionalFormatting sqref="F21:F22">
    <cfRule type="expression" dxfId="4" priority="5">
      <formula>Дни_1&lt;E$6</formula>
    </cfRule>
  </conditionalFormatting>
  <conditionalFormatting sqref="H21:H22">
    <cfRule type="expression" dxfId="3" priority="6">
      <formula>Дни_1&lt;H$4</formula>
    </cfRule>
  </conditionalFormatting>
  <conditionalFormatting sqref="I21:I22">
    <cfRule type="expression" dxfId="2" priority="7">
      <formula>Дни_1&lt;H$5</formula>
    </cfRule>
  </conditionalFormatting>
  <conditionalFormatting sqref="G21:G22">
    <cfRule type="expression" dxfId="1" priority="8">
      <formula>Дни_1&lt;#REF!</formula>
    </cfRule>
  </conditionalFormatting>
  <conditionalFormatting sqref="J21:J22">
    <cfRule type="expression" dxfId="0" priority="9">
      <formula>Дни_1&lt;H$6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78</vt:i4>
      </vt:variant>
    </vt:vector>
  </HeadingPairs>
  <TitlesOfParts>
    <vt:vector size="84" baseType="lpstr">
      <vt:lpstr>Менеджеры</vt:lpstr>
      <vt:lpstr>Агентство</vt:lpstr>
      <vt:lpstr>Фактеризация</vt:lpstr>
      <vt:lpstr>Зарплата</vt:lpstr>
      <vt:lpstr>Настройки</vt:lpstr>
      <vt:lpstr>Служебный</vt:lpstr>
      <vt:lpstr>current_month</vt:lpstr>
      <vt:lpstr>CurrentMonthDays</vt:lpstr>
      <vt:lpstr>CurrentMonthRod</vt:lpstr>
      <vt:lpstr>firstDayCurrentMonth</vt:lpstr>
      <vt:lpstr>lastDayCurrentMonth</vt:lpstr>
      <vt:lpstr>planYear</vt:lpstr>
      <vt:lpstr>БонусДопы1</vt:lpstr>
      <vt:lpstr>БонусДопы2</vt:lpstr>
      <vt:lpstr>БонусДопы3</vt:lpstr>
      <vt:lpstr>БонусДопы4</vt:lpstr>
      <vt:lpstr>БонусДопы5</vt:lpstr>
      <vt:lpstr>БонусДопы6</vt:lpstr>
      <vt:lpstr>БонусДопы7</vt:lpstr>
      <vt:lpstr>БонусТуры1</vt:lpstr>
      <vt:lpstr>БонусТуры2</vt:lpstr>
      <vt:lpstr>БонусТуры3</vt:lpstr>
      <vt:lpstr>БонусТуры4</vt:lpstr>
      <vt:lpstr>БонусТуры5</vt:lpstr>
      <vt:lpstr>БонусТуры6</vt:lpstr>
      <vt:lpstr>БонусТуры7</vt:lpstr>
      <vt:lpstr>БонусыДопыВсе1</vt:lpstr>
      <vt:lpstr>БонусыДопыВсе2</vt:lpstr>
      <vt:lpstr>БонусыТурыВсе1</vt:lpstr>
      <vt:lpstr>БонусыТурыВсе2</vt:lpstr>
      <vt:lpstr>ЗарплатаДопыВсе1</vt:lpstr>
      <vt:lpstr>ЗарплатаДопыВсе2</vt:lpstr>
      <vt:lpstr>ЗарплатаДопыМега1</vt:lpstr>
      <vt:lpstr>ЗарплатаДопыМега2</vt:lpstr>
      <vt:lpstr>ЗарплатаДопыМенеджер1</vt:lpstr>
      <vt:lpstr>ЗарплатаДопыМенеджер2</vt:lpstr>
      <vt:lpstr>ЗарплатаИзМенеджер1</vt:lpstr>
      <vt:lpstr>ЗарплатаИзМенеджер2</vt:lpstr>
      <vt:lpstr>ЗарплатаКармаМенеджер1</vt:lpstr>
      <vt:lpstr>ЗарплатаКармаМенеджер2</vt:lpstr>
      <vt:lpstr>ЗарплатаОкладМенеджер1</vt:lpstr>
      <vt:lpstr>ЗарплатаОкладМенеджер2</vt:lpstr>
      <vt:lpstr>ЗарплатаТурыВсе1</vt:lpstr>
      <vt:lpstr>ЗарплатаТурыВсе2</vt:lpstr>
      <vt:lpstr>ЗарплатаТурыМега1</vt:lpstr>
      <vt:lpstr>ЗарплатаТурыМега2</vt:lpstr>
      <vt:lpstr>ЗарплатаТурыМенеджер1</vt:lpstr>
      <vt:lpstr>ЗарплатаТурыМенеджер2</vt:lpstr>
      <vt:lpstr>ЗаявкиФактКанал1Менеджер1</vt:lpstr>
      <vt:lpstr>ЗаявкиФактКанал1Менеджер2</vt:lpstr>
      <vt:lpstr>ЗаявкиФактКанал2Менеджер1</vt:lpstr>
      <vt:lpstr>ЗаявкиФактКанал2Менеджер2</vt:lpstr>
      <vt:lpstr>ЗаявкиФактКанал3Менеджер1</vt:lpstr>
      <vt:lpstr>ЗаявкиФактКанал3Менеджер2</vt:lpstr>
      <vt:lpstr>ЗаявкиФактКанал4Менеджер1</vt:lpstr>
      <vt:lpstr>ЗаявкиФактКанал4Менеджер2</vt:lpstr>
      <vt:lpstr>ЗаявкиФактКанал5Менеджер1</vt:lpstr>
      <vt:lpstr>ЗаявкиФактКанал5Менеджер2</vt:lpstr>
      <vt:lpstr>ЗаявкиФактКанал6Менеджер1</vt:lpstr>
      <vt:lpstr>ЗаявкиФактКанал6Менеджер2</vt:lpstr>
      <vt:lpstr>ЗаявкиФактКанал7Менеджер1</vt:lpstr>
      <vt:lpstr>ЗаявкиФактКанал7Менеджер2</vt:lpstr>
      <vt:lpstr>ИндивидуальныеЗаданияМенеджер1</vt:lpstr>
      <vt:lpstr>ИндивидуальныеЗаданияМенеджер2</vt:lpstr>
      <vt:lpstr>Менеджер_1</vt:lpstr>
      <vt:lpstr>Менеджер_2</vt:lpstr>
      <vt:lpstr>НарастающийИтогДоля</vt:lpstr>
      <vt:lpstr>ПланДопы</vt:lpstr>
      <vt:lpstr>ПланТуры</vt:lpstr>
      <vt:lpstr>ПлохиеДелаМенеджер1</vt:lpstr>
      <vt:lpstr>ПлохиеДелаМенеджер2</vt:lpstr>
      <vt:lpstr>СреднийЧек</vt:lpstr>
      <vt:lpstr>Факт_допы</vt:lpstr>
      <vt:lpstr>Факт_туры</vt:lpstr>
      <vt:lpstr>ФактДопыМенеджер1</vt:lpstr>
      <vt:lpstr>ФактДопыМенеджер2</vt:lpstr>
      <vt:lpstr>ФактТурыМенеджер1</vt:lpstr>
      <vt:lpstr>ФактТурыМенеджер2</vt:lpstr>
      <vt:lpstr>ХорошиеДелаМенеджер1</vt:lpstr>
      <vt:lpstr>ХорошиеДелаМенеджер2</vt:lpstr>
      <vt:lpstr>ЦельДопыМенеджер1</vt:lpstr>
      <vt:lpstr>ЦельДопыМенеджер2</vt:lpstr>
      <vt:lpstr>ЦельТурыМенеджер1</vt:lpstr>
      <vt:lpstr>ЦельТурыМенеджер2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Алина</cp:lastModifiedBy>
  <dcterms:created xsi:type="dcterms:W3CDTF">2017-10-10T09:50:17Z</dcterms:created>
  <dcterms:modified xsi:type="dcterms:W3CDTF">2019-01-27T15:41:48Z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6f37005f-bc95-4799-adfb-8ce5258f553e</vt:lpwstr>
  </property>
</Properties>
</file>